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9060" yWindow="915" windowWidth="11580" windowHeight="6225" firstSheet="3" activeTab="5"/>
  </bookViews>
  <sheets>
    <sheet name="Deckblatt" sheetId="38" r:id="rId1"/>
    <sheet name="Erfolgsplan" sheetId="71" r:id="rId2"/>
    <sheet name="Vermögensplan" sheetId="48" r:id="rId3"/>
    <sheet name="Personalplan" sheetId="70" r:id="rId4"/>
    <sheet name="Investitionsplan" sheetId="67" r:id="rId5"/>
    <sheet name="Planbilanz" sheetId="68" r:id="rId6"/>
  </sheets>
  <definedNames>
    <definedName name="_xlnm.Print_Area" localSheetId="4">Investitionsplan!$A$1:$M$55</definedName>
    <definedName name="_xlnm.Print_Area" localSheetId="3">Personalplan!$A$1:$J$34</definedName>
    <definedName name="Print_Area" localSheetId="0">Deckblatt!$A$1:$G$39</definedName>
    <definedName name="Print_Area" localSheetId="1">Erfolgsplan!$B$1:$M$56</definedName>
    <definedName name="Print_Area" localSheetId="4">Investitionsplan!$A$1:$M$43</definedName>
    <definedName name="Print_Area" localSheetId="2">Vermögensplan!$B$1:$J$66</definedName>
  </definedNames>
  <calcPr calcId="145621"/>
</workbook>
</file>

<file path=xl/calcChain.xml><?xml version="1.0" encoding="utf-8"?>
<calcChain xmlns="http://schemas.openxmlformats.org/spreadsheetml/2006/main">
  <c r="H9" i="70" l="1"/>
  <c r="E18" i="48" l="1"/>
  <c r="E17" i="48"/>
  <c r="E13" i="48"/>
  <c r="H35" i="67"/>
  <c r="D18" i="48" l="1"/>
  <c r="D17" i="48"/>
  <c r="C24" i="71"/>
  <c r="C25" i="71"/>
  <c r="I21" i="71" l="1"/>
  <c r="H21" i="71"/>
  <c r="G21" i="71"/>
  <c r="J23" i="70" l="1"/>
  <c r="I23" i="70"/>
  <c r="H25" i="70"/>
  <c r="H23" i="70"/>
  <c r="G9" i="70"/>
  <c r="G25" i="70"/>
  <c r="G23" i="70"/>
  <c r="I34" i="71"/>
  <c r="I20" i="71" l="1"/>
  <c r="H20" i="71"/>
  <c r="G20" i="71"/>
  <c r="I13" i="71"/>
  <c r="H13" i="71"/>
  <c r="G13" i="71"/>
  <c r="I12" i="71"/>
  <c r="H12" i="71"/>
  <c r="G12" i="71"/>
  <c r="E36" i="48" l="1"/>
  <c r="F29" i="71"/>
  <c r="H33" i="71"/>
  <c r="I33" i="71"/>
  <c r="I37" i="71" s="1"/>
  <c r="J33" i="71"/>
  <c r="J34" i="71" s="1"/>
  <c r="I25" i="71"/>
  <c r="I28" i="71" s="1"/>
  <c r="I29" i="71" s="1"/>
  <c r="H25" i="71"/>
  <c r="G25" i="71"/>
  <c r="J27" i="71"/>
  <c r="I27" i="71" s="1"/>
  <c r="I26" i="71"/>
  <c r="H26" i="71"/>
  <c r="G26" i="71"/>
  <c r="I24" i="71"/>
  <c r="H24" i="71"/>
  <c r="G24" i="71"/>
  <c r="J22" i="71"/>
  <c r="I22" i="71"/>
  <c r="H22" i="71"/>
  <c r="G27" i="71" l="1"/>
  <c r="H27" i="71"/>
  <c r="D36" i="48" l="1"/>
  <c r="J25" i="70" l="1"/>
  <c r="I25" i="70"/>
  <c r="L19" i="68"/>
  <c r="K19" i="68"/>
  <c r="M19" i="68"/>
  <c r="J19" i="68"/>
  <c r="J26" i="70" l="1"/>
  <c r="I26" i="70"/>
  <c r="H19" i="68"/>
  <c r="H16" i="68"/>
  <c r="J16" i="68" s="1"/>
  <c r="K16" i="68" s="1"/>
  <c r="L16" i="68" s="1"/>
  <c r="M16" i="68" l="1"/>
  <c r="L20" i="68"/>
  <c r="G30" i="68"/>
  <c r="J21" i="68"/>
  <c r="H27" i="68"/>
  <c r="G27" i="68"/>
  <c r="G19" i="68"/>
  <c r="H20" i="68" l="1"/>
  <c r="J24" i="70" l="1"/>
  <c r="E23" i="70"/>
  <c r="H11" i="68"/>
  <c r="H12" i="68"/>
  <c r="J12" i="68"/>
  <c r="J11" i="68"/>
  <c r="L27" i="71" l="1"/>
  <c r="K27" i="71"/>
  <c r="D20" i="48" l="1"/>
  <c r="J27" i="68" l="1"/>
  <c r="K27" i="68" s="1"/>
  <c r="L27" i="68" s="1"/>
  <c r="M27" i="68" s="1"/>
  <c r="G12" i="68"/>
  <c r="K21" i="68" l="1"/>
  <c r="J34" i="68"/>
  <c r="K34" i="68" s="1"/>
  <c r="L34" i="68" s="1"/>
  <c r="M34" i="68" s="1"/>
  <c r="F32" i="68" l="1"/>
  <c r="F20" i="68"/>
  <c r="F17" i="68"/>
  <c r="F14" i="68"/>
  <c r="F32" i="48"/>
  <c r="J32" i="48" l="1"/>
  <c r="I32" i="48"/>
  <c r="H32" i="48"/>
  <c r="G32" i="48"/>
  <c r="E32" i="48"/>
  <c r="D32" i="48"/>
  <c r="C32" i="48"/>
  <c r="F18" i="48"/>
  <c r="K17" i="67" l="1"/>
  <c r="I23" i="67" l="1"/>
  <c r="F14" i="48" l="1"/>
  <c r="F35" i="68" l="1"/>
  <c r="H32" i="68"/>
  <c r="G32" i="68"/>
  <c r="G17" i="68"/>
  <c r="H38" i="68" l="1"/>
  <c r="G38" i="68"/>
  <c r="F38" i="68"/>
  <c r="K32" i="68"/>
  <c r="J32" i="68"/>
  <c r="L21" i="68"/>
  <c r="M21" i="68" s="1"/>
  <c r="J20" i="68" l="1"/>
  <c r="J17" i="68"/>
  <c r="J38" i="68"/>
  <c r="K38" i="68"/>
  <c r="G14" i="68"/>
  <c r="G35" i="68" l="1"/>
  <c r="K17" i="68"/>
  <c r="H35" i="68"/>
  <c r="K11" i="68"/>
  <c r="L32" i="68"/>
  <c r="J35" i="68" l="1"/>
  <c r="L17" i="68"/>
  <c r="L38" i="68"/>
  <c r="M32" i="68"/>
  <c r="C15" i="48"/>
  <c r="M33" i="71"/>
  <c r="L33" i="71"/>
  <c r="K33" i="71"/>
  <c r="G33" i="71"/>
  <c r="F33" i="71"/>
  <c r="E33" i="71"/>
  <c r="D33" i="71"/>
  <c r="C33" i="71"/>
  <c r="C28" i="71"/>
  <c r="J15" i="48"/>
  <c r="I15" i="48"/>
  <c r="H15" i="48"/>
  <c r="H13" i="48"/>
  <c r="G15" i="48"/>
  <c r="G13" i="48"/>
  <c r="E15" i="48"/>
  <c r="D15" i="48"/>
  <c r="D13" i="48"/>
  <c r="C18" i="48"/>
  <c r="C13" i="48"/>
  <c r="K35" i="68" l="1"/>
  <c r="M20" i="68"/>
  <c r="M17" i="68"/>
  <c r="L17" i="67"/>
  <c r="M17" i="67" s="1"/>
  <c r="M38" i="68"/>
  <c r="H18" i="48"/>
  <c r="G18" i="48"/>
  <c r="L35" i="68" l="1"/>
  <c r="L11" i="68"/>
  <c r="M11" i="68" s="1"/>
  <c r="I13" i="48"/>
  <c r="I18" i="48"/>
  <c r="J13" i="48"/>
  <c r="F13" i="48"/>
  <c r="M35" i="68" l="1"/>
  <c r="F15" i="48"/>
  <c r="K12" i="68"/>
  <c r="L12" i="68" s="1"/>
  <c r="J18" i="48"/>
  <c r="D28" i="70" l="1"/>
  <c r="C28" i="70"/>
  <c r="F28" i="70"/>
  <c r="G28" i="70"/>
  <c r="H28" i="70"/>
  <c r="I28" i="70"/>
  <c r="J28" i="70"/>
  <c r="H12" i="70"/>
  <c r="D12" i="70"/>
  <c r="E12" i="70"/>
  <c r="F12" i="70"/>
  <c r="G12" i="70"/>
  <c r="E28" i="70" l="1"/>
  <c r="H43" i="67" l="1"/>
  <c r="E12" i="48" s="1"/>
  <c r="C12" i="70" l="1"/>
  <c r="C27" i="70"/>
  <c r="D27" i="70"/>
  <c r="E27" i="70"/>
  <c r="F27" i="70"/>
  <c r="G27" i="70"/>
  <c r="E28" i="71"/>
  <c r="E22" i="71"/>
  <c r="E29" i="71" l="1"/>
  <c r="E34" i="71" s="1"/>
  <c r="E37" i="71" s="1"/>
  <c r="G20" i="68"/>
  <c r="G43" i="67"/>
  <c r="D12" i="48" s="1"/>
  <c r="D28" i="71"/>
  <c r="D22" i="71"/>
  <c r="E39" i="48" l="1"/>
  <c r="E22" i="48"/>
  <c r="E23" i="48" s="1"/>
  <c r="D29" i="71"/>
  <c r="D34" i="71" s="1"/>
  <c r="D37" i="71" s="1"/>
  <c r="G22" i="68"/>
  <c r="H28" i="71"/>
  <c r="J28" i="71"/>
  <c r="D39" i="48" l="1"/>
  <c r="D22" i="48"/>
  <c r="D23" i="48" s="1"/>
  <c r="H29" i="71"/>
  <c r="H34" i="71" s="1"/>
  <c r="H37" i="71" s="1"/>
  <c r="J29" i="71"/>
  <c r="J37" i="71" s="1"/>
  <c r="I35" i="68"/>
  <c r="F22" i="68"/>
  <c r="I20" i="68"/>
  <c r="K20" i="68"/>
  <c r="H14" i="68"/>
  <c r="I14" i="68"/>
  <c r="J14" i="68"/>
  <c r="K14" i="68"/>
  <c r="L14" i="68"/>
  <c r="M14" i="68"/>
  <c r="H27" i="70"/>
  <c r="I27" i="70"/>
  <c r="I9" i="70" s="1"/>
  <c r="I12" i="70" s="1"/>
  <c r="J27" i="70"/>
  <c r="J9" i="70" s="1"/>
  <c r="J12" i="70" s="1"/>
  <c r="F28" i="71"/>
  <c r="M28" i="71"/>
  <c r="F22" i="71"/>
  <c r="C22" i="71"/>
  <c r="C29" i="71" s="1"/>
  <c r="C34" i="71" s="1"/>
  <c r="M22" i="71"/>
  <c r="L28" i="71"/>
  <c r="K28" i="71"/>
  <c r="G28" i="71"/>
  <c r="L22" i="71"/>
  <c r="K22" i="71"/>
  <c r="G22" i="71"/>
  <c r="G34" i="48" l="1"/>
  <c r="G39" i="48" s="1"/>
  <c r="G22" i="48"/>
  <c r="G29" i="71"/>
  <c r="G34" i="71" s="1"/>
  <c r="G37" i="71" s="1"/>
  <c r="M29" i="71"/>
  <c r="M34" i="71" s="1"/>
  <c r="M37" i="71" s="1"/>
  <c r="L29" i="71"/>
  <c r="L34" i="71" s="1"/>
  <c r="L37" i="71" s="1"/>
  <c r="K29" i="71"/>
  <c r="K34" i="71" s="1"/>
  <c r="K37" i="71" s="1"/>
  <c r="F34" i="71"/>
  <c r="F37" i="71" s="1"/>
  <c r="L22" i="68"/>
  <c r="J22" i="68"/>
  <c r="H22" i="68"/>
  <c r="M22" i="68"/>
  <c r="K22" i="68"/>
  <c r="I22" i="68"/>
  <c r="C37" i="71"/>
  <c r="L43" i="67"/>
  <c r="I12" i="48" s="1"/>
  <c r="K43" i="67"/>
  <c r="H12" i="48" s="1"/>
  <c r="I34" i="48" l="1"/>
  <c r="I39" i="48" s="1"/>
  <c r="I22" i="48"/>
  <c r="I23" i="48" s="1"/>
  <c r="C34" i="48"/>
  <c r="C39" i="48" s="1"/>
  <c r="C22" i="48"/>
  <c r="H34" i="48"/>
  <c r="H39" i="48" s="1"/>
  <c r="H22" i="48"/>
  <c r="H23" i="48" s="1"/>
  <c r="J34" i="48"/>
  <c r="J39" i="48" s="1"/>
  <c r="J22" i="48"/>
  <c r="F34" i="48"/>
  <c r="F39" i="48" s="1"/>
  <c r="F22" i="48"/>
  <c r="I38" i="68"/>
  <c r="M43" i="67" l="1"/>
  <c r="J12" i="48" s="1"/>
  <c r="J43" i="67"/>
  <c r="G12" i="48" s="1"/>
  <c r="G23" i="48" s="1"/>
  <c r="I43" i="67"/>
  <c r="F12" i="48" s="1"/>
  <c r="F43" i="67"/>
  <c r="C12" i="48" s="1"/>
  <c r="C23" i="48" s="1"/>
  <c r="J23" i="48" l="1"/>
  <c r="F23" i="48"/>
</calcChain>
</file>

<file path=xl/sharedStrings.xml><?xml version="1.0" encoding="utf-8"?>
<sst xmlns="http://schemas.openxmlformats.org/spreadsheetml/2006/main" count="314" uniqueCount="206">
  <si>
    <t>Personalaufwand</t>
  </si>
  <si>
    <t>Betriebsergebnis</t>
  </si>
  <si>
    <t>Zinsaufwand</t>
  </si>
  <si>
    <t>Zinserträge</t>
  </si>
  <si>
    <t>T€</t>
  </si>
  <si>
    <t>Beteiligungsergebnis</t>
  </si>
  <si>
    <t>Finanzergebnis</t>
  </si>
  <si>
    <t>Planjahr 1</t>
  </si>
  <si>
    <t>Planjahr 2</t>
  </si>
  <si>
    <t>Planjahr 3</t>
  </si>
  <si>
    <t>Umsatzerlöse, davon</t>
  </si>
  <si>
    <t>Inhaltsübersicht</t>
  </si>
  <si>
    <t>Mittelbedarf:</t>
  </si>
  <si>
    <t>Mittelherkunft:</t>
  </si>
  <si>
    <t>bezogene Leistungen</t>
  </si>
  <si>
    <t>sonstige Zuschüsse (Drittmittel)</t>
  </si>
  <si>
    <t>1. Erfolgsplan</t>
  </si>
  <si>
    <t>2. Vermögensplan</t>
  </si>
  <si>
    <t>lfd. Jahr</t>
  </si>
  <si>
    <t>Planungszeitraum:</t>
  </si>
  <si>
    <t>Bestandsveränderung</t>
  </si>
  <si>
    <t>Zuwendungen FHB</t>
  </si>
  <si>
    <t>bezogenes Material</t>
  </si>
  <si>
    <t>sonstiger betrieblicher Aufwand</t>
  </si>
  <si>
    <t>Summe Aufwand</t>
  </si>
  <si>
    <t>Ergeb. d. gewöhnl. Geschäftstätigkeit</t>
  </si>
  <si>
    <t>Ergebnis nach Steuern</t>
  </si>
  <si>
    <t>Prognose</t>
  </si>
  <si>
    <t>Planungssgrößen</t>
  </si>
  <si>
    <t>Bezeichnung</t>
  </si>
  <si>
    <t xml:space="preserve">    Immaterielle Vermögensgegenstände</t>
  </si>
  <si>
    <t xml:space="preserve">    Grundstücke, Gebäude</t>
  </si>
  <si>
    <t xml:space="preserve">    Technische Anlagen, Maschinen </t>
  </si>
  <si>
    <t xml:space="preserve">    Firmenfahrzeuge</t>
  </si>
  <si>
    <t xml:space="preserve">    Einrichtungen / Büroausstattungen</t>
  </si>
  <si>
    <t xml:space="preserve">    sonstige Investitionen </t>
  </si>
  <si>
    <t xml:space="preserve">    Gesellschafterdarlehen</t>
  </si>
  <si>
    <t xml:space="preserve">    Zuschüsse</t>
  </si>
  <si>
    <t xml:space="preserve">    Investitionen</t>
  </si>
  <si>
    <t xml:space="preserve">    Betriebsmittel</t>
  </si>
  <si>
    <t xml:space="preserve">    Abschreibungen</t>
  </si>
  <si>
    <t xml:space="preserve">    Verkauf von Anlagevermögen</t>
  </si>
  <si>
    <t xml:space="preserve">    Überschüsse des Planjahres</t>
  </si>
  <si>
    <t>Finanzierung aus dem lfd. Geschäftsbetrieb (Innenfinanzierung)</t>
  </si>
  <si>
    <r>
      <t xml:space="preserve">Mittelbedarf für </t>
    </r>
    <r>
      <rPr>
        <b/>
        <sz val="10"/>
        <rFont val="Arial"/>
        <family val="2"/>
      </rPr>
      <t>Investionen</t>
    </r>
    <r>
      <rPr>
        <sz val="10"/>
        <rFont val="Arial"/>
        <family val="2"/>
      </rPr>
      <t xml:space="preserve"> in der Planungsperiode </t>
    </r>
  </si>
  <si>
    <t>zuständiges Fachressort:</t>
  </si>
  <si>
    <r>
      <t>Gesellschaftermittel (FHB bzw. Beteiligungsgesellschaft</t>
    </r>
    <r>
      <rPr>
        <sz val="10"/>
        <rFont val="Arial"/>
        <family val="2"/>
      </rPr>
      <t>):</t>
    </r>
  </si>
  <si>
    <t>3. Personalplan</t>
  </si>
  <si>
    <t xml:space="preserve">sonstige Erträge, davon </t>
  </si>
  <si>
    <r>
      <t xml:space="preserve">   </t>
    </r>
    <r>
      <rPr>
        <i/>
        <sz val="10"/>
        <rFont val="Arial"/>
        <family val="2"/>
      </rPr>
      <t>sonstige Erträge FHB</t>
    </r>
  </si>
  <si>
    <t>lfd. Nr.</t>
  </si>
  <si>
    <t>Projekte</t>
  </si>
  <si>
    <t>Anteil Drittmittel</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</si>
  <si>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</si>
  <si>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</si>
  <si>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</si>
  <si>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</si>
  <si>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</si>
  <si>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</si>
  <si>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</si>
  <si>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</si>
  <si>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</si>
  <si>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</si>
  <si>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</si>
  <si>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</si>
  <si>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t>Summe Investitionen</t>
  </si>
  <si>
    <t>Projekt 1</t>
  </si>
  <si>
    <t>Projekt 2</t>
  </si>
  <si>
    <t>4.1.</t>
  </si>
  <si>
    <t>5.1.</t>
  </si>
  <si>
    <t>1.1.</t>
  </si>
  <si>
    <t>1.2.</t>
  </si>
  <si>
    <t>…</t>
  </si>
  <si>
    <t>3.1.</t>
  </si>
  <si>
    <t>in T€</t>
  </si>
  <si>
    <t>5. Planbilanz</t>
  </si>
  <si>
    <t>Gesamtleistung</t>
  </si>
  <si>
    <t>Abschreibungen</t>
  </si>
  <si>
    <t>a.o. Ergebnis</t>
  </si>
  <si>
    <t>Steuern</t>
  </si>
  <si>
    <t>Sonstiger Betriebsmittelbedarf in der Planungsperiode</t>
  </si>
  <si>
    <t>II. Mittelzu-/-abfluss aus Investitionstätigkeit</t>
  </si>
  <si>
    <t>III. Mittelzu-/-abfluss aus Finanzierungstätigkeit</t>
  </si>
  <si>
    <t>Veränderung der Flüssigen Mittel</t>
  </si>
  <si>
    <t xml:space="preserve">Kapitalflussrechnung </t>
  </si>
  <si>
    <t>Optional:</t>
  </si>
  <si>
    <t>Nachrichtlich:</t>
  </si>
  <si>
    <t>Eigenkapital</t>
  </si>
  <si>
    <t>Eigenkapital, davon</t>
  </si>
  <si>
    <t xml:space="preserve">   Kapital- / Gewinnrücklagen / SoPoR</t>
  </si>
  <si>
    <t xml:space="preserve">   Gewinn- / Verlustvortrag</t>
  </si>
  <si>
    <t>31.03.</t>
  </si>
  <si>
    <t>30.06.</t>
  </si>
  <si>
    <t>30.09.</t>
  </si>
  <si>
    <t>Aktiva</t>
  </si>
  <si>
    <t xml:space="preserve">Immaterielles Anlagevermögen </t>
  </si>
  <si>
    <t>Sachanlagevermögen</t>
  </si>
  <si>
    <t>Finanzanlagen</t>
  </si>
  <si>
    <t>Anlagevermögen</t>
  </si>
  <si>
    <t>Vorräte</t>
  </si>
  <si>
    <t xml:space="preserve">Forderungen </t>
  </si>
  <si>
    <t xml:space="preserve">   davon gegenüber FHB</t>
  </si>
  <si>
    <t>Sonstige Vermögensgegenstände</t>
  </si>
  <si>
    <t xml:space="preserve">Flüssige Mittel </t>
  </si>
  <si>
    <t xml:space="preserve">Umlaufvermögen </t>
  </si>
  <si>
    <t xml:space="preserve">Sonstige Aktiva </t>
  </si>
  <si>
    <t>Bilanzsumme Aktiva</t>
  </si>
  <si>
    <t>Passiva</t>
  </si>
  <si>
    <t>Sonderposten</t>
  </si>
  <si>
    <t xml:space="preserve">   davon Mittel der FHB</t>
  </si>
  <si>
    <t>Rückstellungen</t>
  </si>
  <si>
    <t xml:space="preserve">   davon Verpflichtungen gegenüber der FHB</t>
  </si>
  <si>
    <t xml:space="preserve">   davon Pensionsrückstellungen</t>
  </si>
  <si>
    <t>Verbindlichkeiten</t>
  </si>
  <si>
    <t xml:space="preserve">   davon kurzfristige Verbindlichkeiten</t>
  </si>
  <si>
    <t xml:space="preserve">   davon gegenüber Kreditinstituten</t>
  </si>
  <si>
    <t>Sonstige Passiva</t>
  </si>
  <si>
    <t>Bilanzsumme Passiva</t>
  </si>
  <si>
    <t xml:space="preserve">                    Beamtinnen/Beamte</t>
  </si>
  <si>
    <t>Summe</t>
  </si>
  <si>
    <t>davon aus der Kernverwaltung</t>
  </si>
  <si>
    <r>
      <t>1)</t>
    </r>
    <r>
      <rPr>
        <sz val="8"/>
        <rFont val="Arial"/>
        <family val="2"/>
      </rPr>
      <t xml:space="preserve">  jeweils in Vollzeitäquivalenten der durchschnittlich Beschäftigten, ohne Auszubildende</t>
    </r>
  </si>
  <si>
    <r>
      <t>Summe (</t>
    </r>
    <r>
      <rPr>
        <b/>
        <sz val="10"/>
        <rFont val="Arial"/>
        <family val="2"/>
      </rPr>
      <t>Beschäftigungsvolumen</t>
    </r>
    <r>
      <rPr>
        <sz val="10"/>
        <rFont val="Arial"/>
        <family val="2"/>
      </rPr>
      <t>)²</t>
    </r>
  </si>
  <si>
    <r>
      <t>Personalbestand:</t>
    </r>
    <r>
      <rPr>
        <b/>
        <vertAlign val="superscript"/>
        <sz val="10"/>
        <rFont val="Arial"/>
        <family val="2"/>
      </rPr>
      <t>1</t>
    </r>
  </si>
  <si>
    <t>Der Planungszeitraum orientiert sich an den Investitionsvorhaben.</t>
  </si>
  <si>
    <t>4. Investitionsplan</t>
  </si>
  <si>
    <t xml:space="preserve">                    männliche Beschäftigte</t>
  </si>
  <si>
    <t xml:space="preserve">                    weibliche Beschäftigte</t>
  </si>
  <si>
    <t xml:space="preserve">                      a) ATZ-Beschäftigte in der Freistellungs-</t>
  </si>
  <si>
    <t xml:space="preserve">                          phase (im BV berücksichtigter Faktor) </t>
  </si>
  <si>
    <r>
      <rPr>
        <b/>
        <sz val="10"/>
        <rFont val="Arial"/>
        <family val="2"/>
      </rPr>
      <t>nachrichtlich:</t>
    </r>
    <r>
      <rPr>
        <sz val="10"/>
        <rFont val="Arial"/>
        <family val="2"/>
      </rPr>
      <t xml:space="preserve"> Auszubildende</t>
    </r>
  </si>
  <si>
    <t>Genehmigung durch Beschluss des Aufsichtsgre-miums vom (TT.MM.JJ)</t>
  </si>
  <si>
    <r>
      <t xml:space="preserve">davon:         </t>
    </r>
    <r>
      <rPr>
        <sz val="10"/>
        <rFont val="Arial"/>
        <family val="2"/>
      </rPr>
      <t>nicht aktiv Beschäftigte:</t>
    </r>
  </si>
  <si>
    <t xml:space="preserve">                       b) Sonstige nicht aktiv Beschäftigte</t>
  </si>
  <si>
    <t xml:space="preserve">                    schwerbehinderte Beschäftigte</t>
  </si>
  <si>
    <t>Planjahr 4</t>
  </si>
  <si>
    <t>I. Mittelzu-/-abfluss aus laufender Geschäftstätigkeit</t>
  </si>
  <si>
    <r>
      <t xml:space="preserve">2)  </t>
    </r>
    <r>
      <rPr>
        <sz val="8"/>
        <rFont val="Arial"/>
        <family val="2"/>
      </rPr>
      <t>Das Beschäftigungsvolumen zählt alle Beschäftigten, die im Planungszeitraum mit dem Eigenbetrieb in einem Beschäftigungsverhältnis stehen, umgerechnet auf Vollzeiteinheiten (VZE). Bei Altersteilzeit in der Freistellungsphase wird das Beschäftigungsvolumen entsprechend dem Anteil an den Ausgaben während der Vollbeschäftigung ermittelt (bei vorheriger Vollbeschäftigung i.d.R. 70 %, d.h. 0,7 VZE). Die VZE sind als Durchschnittswerte anzugeben.</t>
    </r>
  </si>
  <si>
    <t>Eigenbetrieb/Museumsstiftung:</t>
  </si>
  <si>
    <t>Gewinn- und Verlustrechnung (in T€)</t>
  </si>
  <si>
    <t>Liquidität 2.-en Grades¹</t>
  </si>
  <si>
    <t xml:space="preserve">¹   Die Liquidität 2. Grades ist ein Maß für die Zahlungsfähigkeit des Eigenbetriebs/der Museumsstiftung und gibt an, wie hoch der Anteil der kurzfristigen Forderungen und der flüssigen Mittel (Bank, Kasse, Schecks, Wechsel) am kurzfristigen Fremdkapital (Verbindlichkeiten aus L+L, sonstige Verbindlichkeiten, Kredite und Darlehen mit einer Laufzeit &lt; 1 Jahr, kurzfristige Rückstellungen) ist. </t>
  </si>
  <si>
    <t>Finanzplan</t>
  </si>
  <si>
    <t>Wirtschaftsplan</t>
  </si>
  <si>
    <t>Kreditaufnahmen</t>
  </si>
  <si>
    <t xml:space="preserve">Eigenbetrieb/Museumsstiftung: </t>
  </si>
  <si>
    <t>1a</t>
  </si>
  <si>
    <t>1b</t>
  </si>
  <si>
    <t>4a</t>
  </si>
  <si>
    <t xml:space="preserve">lfd. Nr. </t>
  </si>
  <si>
    <r>
      <t>Summe übrige Investitionen unter 250 T€</t>
    </r>
    <r>
      <rPr>
        <b/>
        <sz val="10"/>
        <rFont val="TondoKB"/>
      </rPr>
      <t/>
    </r>
  </si>
  <si>
    <t>Plan</t>
  </si>
  <si>
    <t>Planung</t>
  </si>
  <si>
    <t>Ist</t>
  </si>
  <si>
    <t xml:space="preserve">Nachrichtlich: </t>
  </si>
  <si>
    <t>Stand des LHK-Kontos per 31.12.</t>
  </si>
  <si>
    <t>Beschäftigte</t>
  </si>
  <si>
    <t>Beamte</t>
  </si>
  <si>
    <t>nachrichtlich: Finanzierung durch</t>
  </si>
  <si>
    <t>Performa Nord - Landeseigenbetrieb</t>
  </si>
  <si>
    <t>Pflichtleistungen und vom Senat beauftragt</t>
  </si>
  <si>
    <t>Vertragskunden GmbH, BgA</t>
  </si>
  <si>
    <t>Wahlleistungen FHB</t>
  </si>
  <si>
    <t xml:space="preserve">    Sanierung Dienstgebäude</t>
  </si>
  <si>
    <t xml:space="preserve">    Rücklagenverwendung</t>
  </si>
  <si>
    <t xml:space="preserve">    Einstellung von Rücklagen</t>
  </si>
  <si>
    <t xml:space="preserve">   Jahresüberschuss</t>
  </si>
  <si>
    <t>Planjahr 2018</t>
  </si>
  <si>
    <t>Planjahr 2019</t>
  </si>
  <si>
    <t>Planjahr 2020</t>
  </si>
  <si>
    <t>2.1. Grundstücke/Gebäude</t>
  </si>
  <si>
    <t>Aufwand aus Sanierung/Instandhaltung</t>
  </si>
  <si>
    <t>Ist
2015</t>
  </si>
  <si>
    <t>Planung
2017</t>
  </si>
  <si>
    <t>Planjahr 1
2018
 I.-III. Quartal</t>
  </si>
  <si>
    <t>Planjahr 1
2018</t>
  </si>
  <si>
    <t>Planjahr 2
2019</t>
  </si>
  <si>
    <t>Planjahr 4
2021</t>
  </si>
  <si>
    <t>Planjahr 3
2020</t>
  </si>
  <si>
    <r>
      <t xml:space="preserve">Planjahr 1 </t>
    </r>
    <r>
      <rPr>
        <vertAlign val="superscript"/>
        <sz val="8"/>
        <rFont val="TondoKB"/>
      </rPr>
      <t/>
    </r>
  </si>
  <si>
    <t xml:space="preserve">Planjahr 4 </t>
  </si>
  <si>
    <t>Planjahr 2021</t>
  </si>
  <si>
    <t>der Betrieb führt keine Auszubildenden auf, weil er dem Ausbildungsverbund des AFZ angehört</t>
  </si>
  <si>
    <t>Ist
2016</t>
  </si>
  <si>
    <t>Prognose
2017</t>
  </si>
  <si>
    <t>Planjahr 1
2018
 I.-II. Quartal</t>
  </si>
  <si>
    <t>Jahr 2018 bis 2021</t>
  </si>
  <si>
    <t xml:space="preserve"> Ist 2015</t>
  </si>
  <si>
    <t>Prognose 2017</t>
  </si>
  <si>
    <t>Senatorin für Finanzen</t>
  </si>
  <si>
    <t xml:space="preserve"> Vorl. Ist
2016</t>
  </si>
  <si>
    <t>Vorl. Ist</t>
  </si>
  <si>
    <t>Vorl. Ist 2016</t>
  </si>
  <si>
    <t>Geschäftsbesorgungs-/ Leistungsentgelt FHB</t>
  </si>
  <si>
    <t>Zuweisungen FHB</t>
  </si>
  <si>
    <t>Institutionelle Förderung</t>
  </si>
  <si>
    <t>Projektförderung</t>
  </si>
  <si>
    <t>sonstige Umsätze FHB</t>
  </si>
  <si>
    <t>1ba</t>
  </si>
  <si>
    <t>1c</t>
  </si>
  <si>
    <t>1bb</t>
  </si>
  <si>
    <t>Planjahr 1
2018
I. Quartal</t>
  </si>
  <si>
    <t xml:space="preserve">    Zuführung aus Rücklagen</t>
  </si>
  <si>
    <t>Wirtschaftsplan für</t>
  </si>
  <si>
    <t>3)  Personalübergang GeNo in bremische Verwaltung: 18 VZE</t>
  </si>
  <si>
    <r>
      <t>Projekte / Sonstige</t>
    </r>
    <r>
      <rPr>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</si>
</sst>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_ ;[Red]\-0\ "/>
  </numFmts>
  <fonts count="42">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sz val="11"/>
      <name val="Arial"/>
      <family val="2"/>
    </font>
    <font>
      <b/>
      <sz val="11"/>
      <name val="Arial"/>
      <family val="2"/>
    </font>
    <font>
      <i/>
      <sz val="10"/>
      <name val="Arial"/>
      <family val="2"/>
    </font>
    <font>
      <b/>
      <sz val="10"/>
      <name val="Wingdings"/>
      <charset val="2"/>
    </font>
    <font>
      <b/>
      <sz val="16"/>
      <name val="Arial"/>
      <family val="2"/>
    </font>
    <font>
      <sz val="16"/>
      <name val="Arial"/>
      <family val="2"/>
    </font>
    <font>
      <sz val="12"/>
      <name val="Arial"/>
      <family val="2"/>
    </font>
    <font>
      <sz val="10"/>
      <name val="Frutiger 55 Roman"/>
    </font>
    <font>
      <b/>
      <i/>
      <sz val="10"/>
      <name val="Arial"/>
      <family val="2"/>
    </font>
    <font>
      <sz val="10"/>
      <name val="Arial"/>
      <family val="2"/>
    </font>
    <font>
      <b/>
      <vertAlign val="superscript"/>
      <sz val="10"/>
      <name val="Arial"/>
      <family val="2"/>
    </font>
    <font>
      <vertAlign val="superscript"/>
      <sz val="8"/>
      <name val="Arial"/>
      <family val="2"/>
    </font>
    <font>
      <b/>
      <sz val="10"/>
      <name val="TondoKB"/>
    </font>
    <font>
      <sz val="10"/>
      <name val="TondoKB"/>
    </font>
    <font>
      <b/>
      <sz val="14"/>
      <name val="TondoKB"/>
    </font>
    <font>
      <b/>
      <u/>
      <sz val="10"/>
      <name val="TondoKB"/>
    </font>
    <font>
      <sz val="10"/>
      <color indexed="12"/>
      <name val="Arial"/>
      <family val="2"/>
    </font>
    <font>
      <vertAlign val="superscript"/>
      <sz val="8"/>
      <name val="TondoKB"/>
    </font>
    <font>
      <b/>
      <i/>
      <vertAlign val="superscript"/>
      <sz val="8"/>
      <name val="Arial"/>
      <family val="2"/>
    </font>
    <font>
      <sz val="9"/>
      <name val="Arial"/>
      <family val="2"/>
    </font>
    <font>
      <sz val="10"/>
      <color rgb="FFFF0000"/>
      <name val="Arial"/>
      <family val="2"/>
    </font>
    <font>
      <vertAlign val="superscript"/>
      <sz val="10"/>
      <name val="Arial"/>
      <family val="2"/>
    </font>
  </fonts>
  <fills count="1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indexed="22"/>
        <bgColor indexed="64"/>
      </patternFill>
    </fill>
    <fill>
      <patternFill patternType="solid">
        <fgColor rgb="FFFFFF66"/>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39">
    <xf numFmtId="0" fontId="0" fillId="0" borderId="0"/>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0" fontId="11" fillId="0" borderId="0"/>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164" fontId="1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0" fontId="2" fillId="0" borderId="0"/>
    <xf numFmtId="0" fontId="1" fillId="0" borderId="0"/>
  </cellStyleXfs>
  <cellXfs count="464">
    <xf numFmtId="0" fontId="0" fillId="0" borderId="0" xfId="0"/>
    <xf numFmtId="0" fontId="11" fillId="0" borderId="0" xfId="6"/>
    <xf numFmtId="0" fontId="11" fillId="0" borderId="0" xfId="6" applyAlignment="1">
      <alignment vertical="center"/>
    </xf>
    <xf numFmtId="0" fontId="3" fillId="0" borderId="0" xfId="0" applyFont="1" applyAlignment="1">
      <alignment horizontal="right"/>
    </xf>
    <xf numFmtId="0" fontId="4" fillId="0" borderId="2" xfId="0" applyFont="1" applyBorder="1"/>
    <xf numFmtId="0" fontId="17" fillId="0" borderId="0" xfId="0" applyFont="1" applyAlignment="1">
      <alignment horizontal="left"/>
    </xf>
    <xf numFmtId="0" fontId="4" fillId="0" borderId="0" xfId="0" applyFont="1" applyBorder="1" applyAlignment="1">
      <alignment horizontal="center" vertical="top"/>
    </xf>
    <xf numFmtId="0" fontId="4" fillId="0" borderId="0" xfId="0" applyFont="1" applyBorder="1"/>
    <xf numFmtId="0" fontId="4" fillId="0" borderId="5" xfId="0" applyFont="1" applyFill="1" applyBorder="1"/>
    <xf numFmtId="0" fontId="17" fillId="0" borderId="0" xfId="0" applyFont="1" applyBorder="1" applyAlignment="1">
      <alignment horizontal="left" vertical="top"/>
    </xf>
    <xf numFmtId="0" fontId="0" fillId="0" borderId="0" xfId="0" applyAlignment="1">
      <alignment vertical="center"/>
    </xf>
    <xf numFmtId="0" fontId="20" fillId="0" borderId="0" xfId="0" applyFont="1"/>
    <xf numFmtId="3" fontId="2" fillId="0" borderId="0" xfId="0" applyNumberFormat="1" applyFont="1" applyBorder="1" applyProtection="1">
      <protection hidden="1"/>
    </xf>
    <xf numFmtId="3" fontId="2" fillId="0" borderId="0" xfId="0" applyNumberFormat="1" applyFont="1" applyBorder="1" applyProtection="1">
      <protection locked="0"/>
    </xf>
    <xf numFmtId="0" fontId="2" fillId="0" borderId="0" xfId="0" applyFont="1" applyBorder="1" applyAlignment="1" applyProtection="1">
      <alignment wrapText="1"/>
      <protection hidden="1"/>
    </xf>
    <xf numFmtId="3" fontId="2" fillId="0" borderId="0" xfId="0" applyNumberFormat="1" applyFont="1" applyProtection="1">
      <protection hidden="1"/>
    </xf>
    <xf numFmtId="0" fontId="3" fillId="0" borderId="0" xfId="6" applyFont="1"/>
    <xf numFmtId="0" fontId="19" fillId="0" borderId="0" xfId="6" applyFont="1"/>
    <xf numFmtId="0" fontId="4" fillId="0" borderId="0" xfId="6" applyFont="1"/>
    <xf numFmtId="0" fontId="25" fillId="0" borderId="4" xfId="6" applyFont="1" applyBorder="1"/>
    <xf numFmtId="0" fontId="4" fillId="0" borderId="0" xfId="6" applyFont="1" applyBorder="1"/>
    <xf numFmtId="0" fontId="24" fillId="0" borderId="5" xfId="6"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17" fillId="0" borderId="5" xfId="6" applyFont="1" applyBorder="1" applyAlignment="1">
      <alignment vertical="center"/>
    </xf>
    <xf numFmtId="0" fontId="25" fillId="0" borderId="0" xfId="6" applyFont="1" applyBorder="1"/>
    <xf numFmtId="0" fontId="24" fillId="0" borderId="5" xfId="6" applyFont="1" applyBorder="1" applyAlignment="1">
      <alignment vertical="top"/>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xf numFmtId="0" fontId="4" fillId="0" borderId="0" xfId="0" applyFont="1"/>
    <xf numFmtId="3" fontId="2" fillId="0" borderId="12" xfId="0" applyNumberFormat="1" applyFont="1" applyBorder="1" applyAlignment="1" applyProtection="1">
      <alignment wrapText="1"/>
      <protection hidden="1"/>
    </xf>
    <xf numFmtId="3" fontId="3" fillId="0" borderId="0" xfId="0" applyNumberFormat="1" applyFont="1" applyProtection="1">
      <protection hidden="1"/>
    </xf>
    <xf numFmtId="0" fontId="26" fillId="0" borderId="0" xfId="0" applyFont="1" applyBorder="1" applyAlignment="1" applyProtection="1">
      <alignment wrapText="1"/>
      <protection locked="0"/>
    </xf>
    <xf numFmtId="3" fontId="22" fillId="0" borderId="0" xfId="0" applyNumberFormat="1" applyFont="1" applyBorder="1" applyAlignment="1" applyProtection="1">
      <alignment wrapText="1"/>
      <protection hidden="1"/>
    </xf>
    <xf numFmtId="3" fontId="23" fillId="0" borderId="0" xfId="0" applyNumberFormat="1" applyFont="1" applyBorder="1" applyProtection="1">
      <protection hidden="1"/>
    </xf>
    <xf numFmtId="3" fontId="3" fillId="0" borderId="0" xfId="0" applyNumberFormat="1" applyFont="1" applyFill="1" applyBorder="1" applyProtection="1">
      <protection hidden="1"/>
    </xf>
    <xf numFmtId="3" fontId="2" fillId="0" borderId="0" xfId="0" applyNumberFormat="1" applyFont="1" applyFill="1" applyBorder="1" applyProtection="1">
      <protection locked="0"/>
    </xf>
    <xf numFmtId="3" fontId="23" fillId="0" borderId="0" xfId="0" applyNumberFormat="1" applyFont="1" applyFill="1" applyBorder="1" applyProtection="1">
      <protection hidden="1"/>
    </xf>
    <xf numFmtId="0" fontId="4" fillId="2" borderId="1" xfId="6" applyFont="1" applyFill="1" applyBorder="1" applyAlignment="1">
      <alignment horizontal="center" wrapText="1"/>
    </xf>
    <xf numFmtId="0" fontId="27" fillId="2" borderId="1" xfId="6" applyFont="1" applyFill="1" applyBorder="1" applyAlignment="1">
      <alignment horizontal="center" wrapText="1"/>
    </xf>
    <xf numFmtId="0" fontId="4" fillId="2" borderId="2" xfId="6" applyFont="1" applyFill="1" applyBorder="1" applyAlignment="1">
      <alignment horizontal="center" wrapText="1"/>
    </xf>
    <xf numFmtId="0" fontId="29" fillId="2" borderId="1" xfId="0" applyFont="1" applyFill="1" applyBorder="1" applyAlignment="1">
      <alignment horizontal="center"/>
    </xf>
    <xf numFmtId="0" fontId="29" fillId="2" borderId="2" xfId="0" applyFont="1" applyFill="1" applyBorder="1" applyAlignment="1">
      <alignment horizontal="center"/>
    </xf>
    <xf numFmtId="0" fontId="29" fillId="2" borderId="3" xfId="0" applyFont="1" applyFill="1" applyBorder="1" applyAlignment="1">
      <alignment horizontal="center"/>
    </xf>
    <xf numFmtId="0" fontId="4" fillId="0" borderId="2" xfId="0" applyFont="1" applyFill="1" applyBorder="1"/>
    <xf numFmtId="0" fontId="27" fillId="0" borderId="5" xfId="6" applyFont="1" applyBorder="1"/>
    <xf numFmtId="0" fontId="3" fillId="3" borderId="11" xfId="0" applyFont="1" applyFill="1" applyBorder="1"/>
    <xf numFmtId="0" fontId="4" fillId="0" borderId="2" xfId="6" applyFont="1" applyBorder="1"/>
    <xf numFmtId="0" fontId="4" fillId="0" borderId="1" xfId="6" applyFont="1" applyBorder="1"/>
    <xf numFmtId="0" fontId="4" fillId="2" borderId="8" xfId="6" applyFont="1" applyFill="1" applyBorder="1" applyAlignment="1">
      <alignment horizontal="left"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0" borderId="13" xfId="0" applyFont="1" applyFill="1" applyBorder="1"/>
    <xf numFmtId="0" fontId="17" fillId="0" borderId="5" xfId="6" applyFont="1" applyBorder="1" applyAlignment="1">
      <alignment horizontal="center" vertical="center"/>
    </xf>
    <xf numFmtId="0" fontId="17" fillId="0" borderId="0" xfId="6" applyFont="1" applyBorder="1" applyAlignment="1">
      <alignment horizontal="center" vertical="center"/>
    </xf>
    <xf numFmtId="0" fontId="4" fillId="0" borderId="0" xfId="0" applyFont="1" applyFill="1" applyBorder="1"/>
    <xf numFmtId="0" fontId="24" fillId="0" borderId="8" xfId="6" applyFont="1" applyBorder="1" applyAlignment="1">
      <alignment horizontal="center"/>
    </xf>
    <xf numFmtId="0" fontId="4" fillId="0" borderId="13" xfId="0" applyFont="1" applyBorder="1" applyAlignment="1">
      <alignment horizontal="center"/>
    </xf>
    <xf numFmtId="0" fontId="24" fillId="0" borderId="0" xfId="6" applyFont="1" applyBorder="1" applyAlignment="1">
      <alignment vertical="top"/>
    </xf>
    <xf numFmtId="0" fontId="24" fillId="0" borderId="9" xfId="6" applyFont="1" applyBorder="1" applyAlignment="1">
      <alignment vertical="top"/>
    </xf>
    <xf numFmtId="0" fontId="24" fillId="0" borderId="15" xfId="6" applyFont="1" applyBorder="1" applyAlignment="1">
      <alignment vertical="top"/>
    </xf>
    <xf numFmtId="0" fontId="24" fillId="0" borderId="5" xfId="6" applyFont="1" applyBorder="1" applyAlignment="1">
      <alignment horizontal="center" vertical="center"/>
    </xf>
    <xf numFmtId="0" fontId="24" fillId="0" borderId="0" xfId="6" applyFont="1" applyBorder="1" applyAlignment="1">
      <alignment horizontal="center" vertical="center"/>
    </xf>
    <xf numFmtId="0" fontId="24" fillId="0" borderId="4" xfId="6" applyFont="1" applyBorder="1" applyAlignment="1">
      <alignment horizontal="center" vertical="center"/>
    </xf>
    <xf numFmtId="3" fontId="28" fillId="0" borderId="0" xfId="0" applyNumberFormat="1" applyFont="1" applyProtection="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32" fillId="0" borderId="0" xfId="6" applyFont="1"/>
    <xf numFmtId="0" fontId="33" fillId="0" borderId="0" xfId="0" applyFont="1"/>
    <xf numFmtId="0" fontId="33" fillId="0" borderId="0" xfId="0" applyFont="1" applyAlignment="1">
      <alignment wrapText="1"/>
    </xf>
    <xf numFmtId="0" fontId="33" fillId="0" borderId="0" xfId="0" applyFont="1" applyFill="1"/>
    <xf numFmtId="0" fontId="34" fillId="0" borderId="0" xfId="0" applyFont="1" applyFill="1"/>
    <xf numFmtId="0" fontId="33" fillId="0" borderId="1" xfId="0" applyFont="1" applyFill="1" applyBorder="1" applyAlignment="1">
      <alignment horizontal="center" vertical="center" wrapText="1"/>
    </xf>
    <xf numFmtId="0" fontId="33" fillId="2" borderId="1" xfId="0" applyFont="1" applyFill="1" applyBorder="1" applyAlignment="1">
      <alignment horizontal="left" vertical="center" wrapText="1"/>
    </xf>
    <xf numFmtId="0" fontId="33" fillId="2" borderId="8" xfId="0" applyFont="1" applyFill="1" applyBorder="1" applyAlignment="1">
      <alignment vertical="center" wrapText="1"/>
    </xf>
    <xf numFmtId="0" fontId="33" fillId="0" borderId="2" xfId="0" applyFont="1" applyFill="1" applyBorder="1" applyAlignment="1">
      <alignment horizontal="center" vertical="top" wrapText="1"/>
    </xf>
    <xf numFmtId="0" fontId="33" fillId="2" borderId="2" xfId="0" applyFont="1" applyFill="1" applyBorder="1" applyAlignment="1">
      <alignment horizontal="center" vertical="top" wrapText="1"/>
    </xf>
    <xf numFmtId="0" fontId="33" fillId="0" borderId="3" xfId="0" applyFont="1" applyFill="1" applyBorder="1" applyAlignment="1">
      <alignment horizontal="center" vertical="center" wrapText="1"/>
    </xf>
    <xf numFmtId="0" fontId="33" fillId="2" borderId="3" xfId="0" applyFont="1" applyFill="1" applyBorder="1" applyAlignment="1">
      <alignment horizontal="center" vertical="center" wrapText="1"/>
    </xf>
    <xf numFmtId="38" fontId="33" fillId="0" borderId="2" xfId="0" applyNumberFormat="1" applyFont="1" applyBorder="1"/>
    <xf numFmtId="0" fontId="35" fillId="0" borderId="2" xfId="0" applyFont="1" applyBorder="1"/>
    <xf numFmtId="38" fontId="0" fillId="0" borderId="5" xfId="0" applyNumberFormat="1" applyBorder="1" applyAlignment="1">
      <alignment horizontal="left" wrapText="1"/>
    </xf>
    <xf numFmtId="38" fontId="0" fillId="5" borderId="2" xfId="0" applyNumberFormat="1" applyFill="1" applyBorder="1" applyAlignment="1">
      <alignment horizontal="left" wrapText="1"/>
    </xf>
    <xf numFmtId="38" fontId="0" fillId="0" borderId="2" xfId="0" applyNumberFormat="1" applyFill="1" applyBorder="1"/>
    <xf numFmtId="38" fontId="0" fillId="0" borderId="2" xfId="0" applyNumberFormat="1" applyBorder="1"/>
    <xf numFmtId="38" fontId="0" fillId="0" borderId="5" xfId="0" applyNumberFormat="1" applyBorder="1"/>
    <xf numFmtId="0" fontId="33" fillId="0" borderId="2" xfId="0" applyFont="1" applyBorder="1"/>
    <xf numFmtId="38" fontId="0" fillId="0" borderId="4" xfId="0" applyNumberFormat="1" applyFill="1" applyBorder="1" applyAlignment="1">
      <alignment horizontal="right"/>
    </xf>
    <xf numFmtId="38" fontId="0" fillId="0" borderId="4" xfId="0" applyNumberFormat="1" applyBorder="1"/>
    <xf numFmtId="0" fontId="33" fillId="3" borderId="2" xfId="0" applyFont="1" applyFill="1" applyBorder="1"/>
    <xf numFmtId="38" fontId="0" fillId="3" borderId="5" xfId="0" applyNumberFormat="1" applyFill="1" applyBorder="1" applyAlignment="1">
      <alignment horizontal="left" wrapText="1"/>
    </xf>
    <xf numFmtId="38" fontId="0" fillId="3" borderId="2" xfId="0" applyNumberFormat="1" applyFill="1" applyBorder="1" applyAlignment="1">
      <alignment horizontal="left" wrapText="1"/>
    </xf>
    <xf numFmtId="38" fontId="3" fillId="3" borderId="4" xfId="0" applyNumberFormat="1" applyFont="1" applyFill="1" applyBorder="1"/>
    <xf numFmtId="38" fontId="3" fillId="3" borderId="2" xfId="0" applyNumberFormat="1" applyFont="1" applyFill="1" applyBorder="1"/>
    <xf numFmtId="38" fontId="0" fillId="0" borderId="4" xfId="0" applyNumberFormat="1" applyFill="1" applyBorder="1"/>
    <xf numFmtId="49" fontId="33" fillId="0" borderId="2" xfId="0" applyNumberFormat="1" applyFont="1" applyBorder="1"/>
    <xf numFmtId="38" fontId="0" fillId="0" borderId="5" xfId="0" applyNumberFormat="1" applyBorder="1" applyAlignment="1">
      <alignment horizontal="left"/>
    </xf>
    <xf numFmtId="38" fontId="0" fillId="5" borderId="2" xfId="0" applyNumberFormat="1" applyFill="1" applyBorder="1" applyAlignment="1">
      <alignment horizontal="left"/>
    </xf>
    <xf numFmtId="38" fontId="0" fillId="0" borderId="2" xfId="0" applyNumberFormat="1" applyFill="1" applyBorder="1" applyAlignment="1">
      <alignment horizontal="right"/>
    </xf>
    <xf numFmtId="38" fontId="0" fillId="0" borderId="5" xfId="0" applyNumberFormat="1" applyFill="1" applyBorder="1"/>
    <xf numFmtId="38" fontId="33" fillId="0" borderId="5" xfId="0" applyNumberFormat="1" applyFont="1" applyFill="1" applyBorder="1"/>
    <xf numFmtId="0" fontId="33" fillId="3" borderId="5" xfId="0" applyFont="1" applyFill="1" applyBorder="1" applyAlignment="1"/>
    <xf numFmtId="38" fontId="0" fillId="3" borderId="4" xfId="0" applyNumberFormat="1" applyFill="1" applyBorder="1" applyAlignment="1">
      <alignment horizontal="left" wrapText="1"/>
    </xf>
    <xf numFmtId="38" fontId="3" fillId="3" borderId="5" xfId="0" applyNumberFormat="1" applyFont="1" applyFill="1" applyBorder="1"/>
    <xf numFmtId="0" fontId="33" fillId="0" borderId="5" xfId="0" applyFont="1" applyFill="1" applyBorder="1" applyAlignment="1"/>
    <xf numFmtId="38" fontId="0" fillId="0" borderId="2" xfId="0" applyNumberFormat="1" applyFill="1" applyBorder="1" applyAlignment="1">
      <alignment horizontal="left" wrapText="1"/>
    </xf>
    <xf numFmtId="38" fontId="0" fillId="5" borderId="4" xfId="0" applyNumberFormat="1" applyFill="1" applyBorder="1" applyAlignment="1">
      <alignment horizontal="left" wrapText="1"/>
    </xf>
    <xf numFmtId="38" fontId="3" fillId="0" borderId="2" xfId="0" applyNumberFormat="1" applyFont="1" applyFill="1" applyBorder="1"/>
    <xf numFmtId="0" fontId="0" fillId="0" borderId="0" xfId="0" applyFill="1"/>
    <xf numFmtId="38" fontId="33" fillId="0" borderId="2" xfId="0" applyNumberFormat="1" applyFont="1" applyFill="1" applyBorder="1"/>
    <xf numFmtId="0" fontId="35" fillId="0" borderId="2" xfId="0" applyFont="1" applyFill="1" applyBorder="1"/>
    <xf numFmtId="38" fontId="0" fillId="0" borderId="5" xfId="0" applyNumberFormat="1" applyFill="1" applyBorder="1" applyAlignment="1">
      <alignment horizontal="left" wrapText="1"/>
    </xf>
    <xf numFmtId="49" fontId="33" fillId="0" borderId="2" xfId="0" applyNumberFormat="1" applyFont="1" applyFill="1" applyBorder="1"/>
    <xf numFmtId="0" fontId="0" fillId="0" borderId="0" xfId="0" applyFill="1" applyBorder="1" applyAlignment="1">
      <alignment wrapText="1"/>
    </xf>
    <xf numFmtId="0" fontId="0" fillId="5" borderId="2" xfId="0" applyFill="1" applyBorder="1" applyAlignment="1">
      <alignment wrapText="1"/>
    </xf>
    <xf numFmtId="0" fontId="33" fillId="0" borderId="2" xfId="0" applyFont="1" applyFill="1" applyBorder="1"/>
    <xf numFmtId="38" fontId="33" fillId="0" borderId="2" xfId="0" applyNumberFormat="1" applyFont="1" applyFill="1" applyBorder="1" applyAlignment="1">
      <alignment vertical="top"/>
    </xf>
    <xf numFmtId="0" fontId="35" fillId="0" borderId="2" xfId="0" applyFont="1" applyFill="1" applyBorder="1" applyAlignment="1">
      <alignment vertical="top" wrapText="1"/>
    </xf>
    <xf numFmtId="38" fontId="0" fillId="3" borderId="5" xfId="0" applyNumberFormat="1" applyFill="1" applyBorder="1" applyAlignment="1">
      <alignment wrapText="1"/>
    </xf>
    <xf numFmtId="38" fontId="0" fillId="3" borderId="2" xfId="0" applyNumberFormat="1" applyFill="1" applyBorder="1" applyAlignment="1">
      <alignment wrapText="1"/>
    </xf>
    <xf numFmtId="0" fontId="35" fillId="0" borderId="2" xfId="0" applyFont="1" applyBorder="1" applyAlignment="1">
      <alignment wrapText="1"/>
    </xf>
    <xf numFmtId="38" fontId="0" fillId="0" borderId="0" xfId="0" applyNumberFormat="1" applyFill="1" applyBorder="1"/>
    <xf numFmtId="38" fontId="33" fillId="0" borderId="3" xfId="0" applyNumberFormat="1" applyFont="1" applyFill="1" applyBorder="1" applyAlignment="1">
      <alignment vertical="center"/>
    </xf>
    <xf numFmtId="0" fontId="32" fillId="2" borderId="17" xfId="0" applyFont="1" applyFill="1" applyBorder="1" applyAlignment="1">
      <alignment vertical="center"/>
    </xf>
    <xf numFmtId="38" fontId="0" fillId="2" borderId="18" xfId="0" applyNumberFormat="1" applyFill="1" applyBorder="1" applyAlignment="1">
      <alignment vertical="center" wrapText="1"/>
    </xf>
    <xf numFmtId="38" fontId="0" fillId="2" borderId="17" xfId="0" applyNumberFormat="1" applyFill="1" applyBorder="1" applyAlignment="1">
      <alignment vertical="center" wrapText="1"/>
    </xf>
    <xf numFmtId="38" fontId="3" fillId="2" borderId="17" xfId="0" applyNumberFormat="1" applyFont="1" applyFill="1" applyBorder="1" applyAlignment="1">
      <alignment vertical="center"/>
    </xf>
    <xf numFmtId="38" fontId="4" fillId="0" borderId="5" xfId="0" applyNumberFormat="1" applyFont="1" applyBorder="1" applyAlignment="1">
      <alignment horizontal="left" wrapText="1"/>
    </xf>
    <xf numFmtId="38" fontId="4" fillId="0" borderId="5" xfId="0" applyNumberFormat="1" applyFont="1" applyFill="1" applyBorder="1" applyAlignment="1">
      <alignment horizontal="left" wrapText="1"/>
    </xf>
    <xf numFmtId="0" fontId="33" fillId="2" borderId="5" xfId="0" applyFont="1" applyFill="1" applyBorder="1" applyAlignment="1">
      <alignment horizontal="center" vertical="top" wrapText="1"/>
    </xf>
    <xf numFmtId="0" fontId="33" fillId="2" borderId="9"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0" fillId="0" borderId="0" xfId="0" applyFill="1" applyAlignment="1"/>
    <xf numFmtId="0" fontId="4" fillId="6" borderId="3" xfId="0" applyFont="1" applyFill="1" applyBorder="1" applyAlignment="1">
      <alignment horizontal="center" wrapText="1"/>
    </xf>
    <xf numFmtId="38" fontId="33" fillId="0" borderId="2" xfId="0" applyNumberFormat="1" applyFont="1" applyBorder="1" applyAlignment="1">
      <alignment horizontal="center"/>
    </xf>
    <xf numFmtId="38" fontId="0" fillId="0" borderId="3" xfId="0" applyNumberFormat="1" applyFill="1" applyBorder="1"/>
    <xf numFmtId="38" fontId="2" fillId="0" borderId="5" xfId="0" applyNumberFormat="1" applyFont="1" applyBorder="1" applyAlignment="1">
      <alignment horizontal="left" wrapText="1"/>
    </xf>
    <xf numFmtId="38" fontId="33" fillId="0" borderId="5" xfId="0" applyNumberFormat="1" applyFont="1" applyBorder="1"/>
    <xf numFmtId="0" fontId="33" fillId="3" borderId="5" xfId="0" applyFont="1" applyFill="1" applyBorder="1"/>
    <xf numFmtId="0" fontId="17" fillId="0" borderId="0" xfId="0" applyFont="1" applyAlignment="1"/>
    <xf numFmtId="0" fontId="5" fillId="0" borderId="0" xfId="0" applyFont="1"/>
    <xf numFmtId="0" fontId="2" fillId="0" borderId="5" xfId="0" applyFont="1" applyBorder="1"/>
    <xf numFmtId="0" fontId="3" fillId="2" borderId="1" xfId="0" applyFont="1" applyFill="1" applyBorder="1" applyAlignment="1"/>
    <xf numFmtId="0" fontId="0" fillId="2" borderId="1" xfId="0" applyFill="1" applyBorder="1" applyAlignment="1">
      <alignment horizontal="center"/>
    </xf>
    <xf numFmtId="0" fontId="3" fillId="2" borderId="2" xfId="0" applyFont="1" applyFill="1" applyBorder="1" applyAlignment="1"/>
    <xf numFmtId="0" fontId="0" fillId="2" borderId="2" xfId="0" applyFill="1" applyBorder="1" applyAlignment="1">
      <alignment horizontal="center"/>
    </xf>
    <xf numFmtId="1" fontId="36" fillId="2" borderId="2" xfId="0" applyNumberFormat="1" applyFont="1" applyFill="1" applyBorder="1" applyAlignment="1">
      <alignment horizontal="center"/>
    </xf>
    <xf numFmtId="17" fontId="0" fillId="2" borderId="2" xfId="0" applyNumberFormat="1" applyFill="1" applyBorder="1" applyAlignment="1">
      <alignment horizontal="center"/>
    </xf>
    <xf numFmtId="0" fontId="3" fillId="2" borderId="3" xfId="0" applyFont="1" applyFill="1" applyBorder="1" applyAlignment="1"/>
    <xf numFmtId="0" fontId="0" fillId="2" borderId="3" xfId="0" applyFill="1" applyBorder="1" applyAlignment="1">
      <alignment horizontal="center"/>
    </xf>
    <xf numFmtId="0" fontId="0" fillId="0" borderId="1" xfId="0" applyBorder="1" applyAlignment="1"/>
    <xf numFmtId="0" fontId="0" fillId="0" borderId="2" xfId="0" applyFill="1" applyBorder="1"/>
    <xf numFmtId="0" fontId="0" fillId="0" borderId="1" xfId="0" applyFill="1" applyBorder="1" applyAlignment="1">
      <alignment horizontal="center"/>
    </xf>
    <xf numFmtId="0" fontId="0" fillId="0" borderId="2" xfId="0" applyBorder="1"/>
    <xf numFmtId="3" fontId="0" fillId="0" borderId="2" xfId="0" applyNumberFormat="1" applyFill="1" applyBorder="1"/>
    <xf numFmtId="0" fontId="3" fillId="8" borderId="3" xfId="0" applyFont="1" applyFill="1" applyBorder="1"/>
    <xf numFmtId="0" fontId="0" fillId="8" borderId="3" xfId="0" applyFill="1" applyBorder="1"/>
    <xf numFmtId="0" fontId="3" fillId="0" borderId="0" xfId="0" applyFont="1" applyFill="1" applyBorder="1"/>
    <xf numFmtId="0" fontId="2" fillId="2" borderId="8" xfId="6" applyFont="1" applyFill="1" applyBorder="1" applyAlignment="1">
      <alignment horizontal="left" wrapText="1"/>
    </xf>
    <xf numFmtId="0" fontId="2" fillId="0" borderId="2" xfId="0" applyFont="1" applyBorder="1"/>
    <xf numFmtId="0" fontId="2" fillId="0" borderId="2" xfId="0" applyFont="1" applyFill="1" applyBorder="1"/>
    <xf numFmtId="0" fontId="2" fillId="0" borderId="3" xfId="0" applyFont="1" applyFill="1" applyBorder="1"/>
    <xf numFmtId="0" fontId="4" fillId="0" borderId="1" xfId="0" applyFont="1" applyFill="1" applyBorder="1"/>
    <xf numFmtId="0" fontId="4" fillId="0" borderId="3" xfId="0" applyFont="1" applyFill="1" applyBorder="1"/>
    <xf numFmtId="0" fontId="4" fillId="0" borderId="1" xfId="0" applyFont="1" applyBorder="1"/>
    <xf numFmtId="0" fontId="4" fillId="0" borderId="3" xfId="0" applyFont="1" applyBorder="1"/>
    <xf numFmtId="0" fontId="2" fillId="8" borderId="2" xfId="0" applyFont="1" applyFill="1" applyBorder="1"/>
    <xf numFmtId="0" fontId="17" fillId="0" borderId="0" xfId="0" applyFont="1" applyAlignment="1">
      <alignment horizontal="center"/>
    </xf>
    <xf numFmtId="0" fontId="0" fillId="0" borderId="0" xfId="0" applyAlignment="1"/>
    <xf numFmtId="0" fontId="0" fillId="0" borderId="2" xfId="0" applyFill="1" applyBorder="1" applyAlignment="1">
      <alignment horizontal="center"/>
    </xf>
    <xf numFmtId="0" fontId="3" fillId="2" borderId="2" xfId="0" applyFont="1" applyFill="1" applyBorder="1"/>
    <xf numFmtId="1" fontId="36" fillId="2" borderId="4" xfId="0" applyNumberFormat="1" applyFont="1" applyFill="1" applyBorder="1" applyAlignment="1">
      <alignment horizontal="center"/>
    </xf>
    <xf numFmtId="1" fontId="36" fillId="0" borderId="2" xfId="0" applyNumberFormat="1" applyFont="1" applyFill="1" applyBorder="1" applyAlignment="1">
      <alignment horizontal="center"/>
    </xf>
    <xf numFmtId="17" fontId="0" fillId="2" borderId="4" xfId="0" applyNumberFormat="1" applyFill="1" applyBorder="1" applyAlignment="1">
      <alignment horizontal="center"/>
    </xf>
    <xf numFmtId="0" fontId="0" fillId="2" borderId="3" xfId="0" applyFill="1" applyBorder="1"/>
    <xf numFmtId="0" fontId="0" fillId="0" borderId="0" xfId="0" applyFill="1" applyBorder="1" applyAlignment="1">
      <alignment horizontal="center"/>
    </xf>
    <xf numFmtId="0" fontId="28" fillId="0" borderId="2" xfId="0" applyFont="1" applyBorder="1"/>
    <xf numFmtId="0" fontId="0" fillId="0" borderId="4" xfId="0" applyBorder="1"/>
    <xf numFmtId="0" fontId="0" fillId="0" borderId="1" xfId="0" applyBorder="1"/>
    <xf numFmtId="3" fontId="2" fillId="0" borderId="2" xfId="0" applyNumberFormat="1" applyFont="1" applyBorder="1"/>
    <xf numFmtId="3" fontId="0" fillId="0" borderId="4" xfId="0" applyNumberFormat="1" applyBorder="1"/>
    <xf numFmtId="3" fontId="0" fillId="0" borderId="2" xfId="0" applyNumberFormat="1" applyBorder="1"/>
    <xf numFmtId="3" fontId="0" fillId="0" borderId="0" xfId="0" applyNumberFormat="1"/>
    <xf numFmtId="3" fontId="3" fillId="3" borderId="2" xfId="0" applyNumberFormat="1" applyFont="1" applyFill="1" applyBorder="1"/>
    <xf numFmtId="3" fontId="3" fillId="3" borderId="4" xfId="0" applyNumberFormat="1" applyFont="1" applyFill="1" applyBorder="1"/>
    <xf numFmtId="3" fontId="36" fillId="0" borderId="2" xfId="0" applyNumberFormat="1" applyFont="1" applyBorder="1"/>
    <xf numFmtId="3" fontId="36" fillId="0" borderId="0" xfId="0" applyNumberFormat="1" applyFont="1" applyBorder="1"/>
    <xf numFmtId="3" fontId="3" fillId="0" borderId="2" xfId="0" applyNumberFormat="1" applyFont="1" applyBorder="1"/>
    <xf numFmtId="3" fontId="3" fillId="0" borderId="0" xfId="0" applyNumberFormat="1" applyFont="1" applyBorder="1"/>
    <xf numFmtId="3" fontId="3" fillId="7" borderId="7" xfId="0" applyNumberFormat="1" applyFont="1" applyFill="1" applyBorder="1"/>
    <xf numFmtId="3" fontId="28" fillId="0" borderId="2" xfId="0" applyNumberFormat="1" applyFont="1" applyBorder="1"/>
    <xf numFmtId="3" fontId="2" fillId="0" borderId="0" xfId="0" applyNumberFormat="1" applyFont="1"/>
    <xf numFmtId="3" fontId="3" fillId="0" borderId="11" xfId="0" applyNumberFormat="1" applyFont="1" applyBorder="1"/>
    <xf numFmtId="3" fontId="5" fillId="0" borderId="12" xfId="0" applyNumberFormat="1" applyFont="1" applyBorder="1"/>
    <xf numFmtId="3" fontId="5" fillId="0" borderId="7" xfId="0" applyNumberFormat="1" applyFont="1" applyBorder="1"/>
    <xf numFmtId="0" fontId="2" fillId="0" borderId="0" xfId="6" applyFont="1"/>
    <xf numFmtId="0" fontId="2" fillId="0" borderId="0" xfId="37"/>
    <xf numFmtId="3" fontId="28" fillId="0" borderId="0" xfId="37" applyNumberFormat="1" applyFont="1" applyProtection="1">
      <protection hidden="1"/>
    </xf>
    <xf numFmtId="0" fontId="2" fillId="0" borderId="0" xfId="37" applyFont="1" applyBorder="1" applyAlignment="1">
      <alignment vertical="center"/>
    </xf>
    <xf numFmtId="0" fontId="2" fillId="0" borderId="19" xfId="37" applyFont="1" applyBorder="1" applyAlignment="1">
      <alignment vertical="center"/>
    </xf>
    <xf numFmtId="0" fontId="2" fillId="0" borderId="7" xfId="37" applyFont="1" applyBorder="1" applyAlignment="1">
      <alignment vertical="center"/>
    </xf>
    <xf numFmtId="0" fontId="2" fillId="0" borderId="3" xfId="37" applyFont="1" applyBorder="1" applyAlignment="1">
      <alignment vertical="center"/>
    </xf>
    <xf numFmtId="0" fontId="2" fillId="0" borderId="2" xfId="37" applyFont="1" applyBorder="1" applyAlignment="1">
      <alignment vertical="center"/>
    </xf>
    <xf numFmtId="0" fontId="2" fillId="2" borderId="7" xfId="37" applyFont="1" applyFill="1" applyBorder="1" applyAlignment="1">
      <alignment horizontal="center" wrapText="1"/>
    </xf>
    <xf numFmtId="0" fontId="2" fillId="0" borderId="0" xfId="37" applyFont="1" applyBorder="1"/>
    <xf numFmtId="0" fontId="2" fillId="8" borderId="3" xfId="37" applyFont="1" applyFill="1" applyBorder="1" applyAlignment="1">
      <alignment vertical="center"/>
    </xf>
    <xf numFmtId="0" fontId="2" fillId="6" borderId="1" xfId="0" applyFont="1" applyFill="1" applyBorder="1" applyAlignment="1">
      <alignment horizontal="center" vertical="center" wrapText="1"/>
    </xf>
    <xf numFmtId="0" fontId="31" fillId="0" borderId="0" xfId="0" applyFont="1"/>
    <xf numFmtId="3" fontId="38" fillId="0" borderId="0" xfId="0" applyNumberFormat="1" applyFont="1" applyProtection="1">
      <protection hidden="1"/>
    </xf>
    <xf numFmtId="0" fontId="2" fillId="0" borderId="2" xfId="37" applyFont="1" applyFill="1" applyBorder="1" applyAlignment="1">
      <alignment vertical="center"/>
    </xf>
    <xf numFmtId="0" fontId="3" fillId="0" borderId="2" xfId="37" applyFont="1" applyFill="1" applyBorder="1" applyAlignment="1">
      <alignment vertical="center"/>
    </xf>
    <xf numFmtId="0" fontId="2" fillId="0" borderId="2" xfId="37" applyFont="1" applyFill="1" applyBorder="1" applyAlignment="1">
      <alignment vertical="center" wrapText="1"/>
    </xf>
    <xf numFmtId="38" fontId="0" fillId="0" borderId="4" xfId="0" applyNumberFormat="1" applyFill="1" applyBorder="1" applyAlignment="1">
      <alignment horizontal="left" wrapText="1"/>
    </xf>
    <xf numFmtId="0" fontId="0" fillId="0" borderId="2" xfId="0" applyFill="1" applyBorder="1" applyAlignment="1">
      <alignment wrapText="1"/>
    </xf>
    <xf numFmtId="0" fontId="18" fillId="0" borderId="0" xfId="6" applyFont="1"/>
    <xf numFmtId="0" fontId="17" fillId="0" borderId="0" xfId="0" applyFont="1" applyAlignment="1"/>
    <xf numFmtId="0" fontId="27" fillId="2" borderId="2" xfId="6" applyFont="1" applyFill="1" applyBorder="1" applyAlignment="1">
      <alignment horizontal="center"/>
    </xf>
    <xf numFmtId="0" fontId="2" fillId="2" borderId="1" xfId="6" applyFont="1" applyFill="1" applyBorder="1" applyAlignment="1">
      <alignment horizontal="center" wrapText="1"/>
    </xf>
    <xf numFmtId="3" fontId="18" fillId="0" borderId="0" xfId="0" applyNumberFormat="1" applyFont="1" applyBorder="1" applyAlignment="1" applyProtection="1">
      <alignment wrapText="1"/>
      <protection locked="0"/>
    </xf>
    <xf numFmtId="3" fontId="3" fillId="0" borderId="0" xfId="0" applyNumberFormat="1" applyFont="1" applyBorder="1" applyAlignment="1" applyProtection="1">
      <alignment horizontal="center" wrapText="1"/>
      <protection hidden="1"/>
    </xf>
    <xf numFmtId="3" fontId="3" fillId="0" borderId="0" xfId="0" applyNumberFormat="1" applyFont="1" applyBorder="1" applyAlignment="1" applyProtection="1">
      <alignment horizontal="center"/>
      <protection hidden="1"/>
    </xf>
    <xf numFmtId="3" fontId="3" fillId="0" borderId="0" xfId="0" applyNumberFormat="1" applyFont="1" applyBorder="1" applyAlignment="1" applyProtection="1">
      <alignment horizontal="right"/>
      <protection hidden="1"/>
    </xf>
    <xf numFmtId="3" fontId="3" fillId="0" borderId="0" xfId="0" applyNumberFormat="1" applyFont="1" applyBorder="1" applyProtection="1">
      <protection hidden="1"/>
    </xf>
    <xf numFmtId="0" fontId="2" fillId="0" borderId="5" xfId="0" applyFont="1" applyFill="1" applyBorder="1"/>
    <xf numFmtId="0" fontId="0" fillId="0" borderId="0" xfId="0" applyAlignment="1">
      <alignment horizontal="center"/>
    </xf>
    <xf numFmtId="3" fontId="2" fillId="0" borderId="12" xfId="0" applyNumberFormat="1" applyFont="1" applyBorder="1" applyAlignment="1" applyProtection="1">
      <alignment horizontal="center"/>
      <protection hidden="1"/>
    </xf>
    <xf numFmtId="3" fontId="39" fillId="0" borderId="2" xfId="0" applyNumberFormat="1" applyFont="1" applyBorder="1" applyAlignment="1" applyProtection="1">
      <alignment horizontal="center" vertical="center"/>
      <protection hidden="1"/>
    </xf>
    <xf numFmtId="3" fontId="39" fillId="0" borderId="3" xfId="0" applyNumberFormat="1" applyFont="1" applyBorder="1" applyAlignment="1" applyProtection="1">
      <alignment horizontal="center" vertical="center"/>
      <protection hidden="1"/>
    </xf>
    <xf numFmtId="0" fontId="2" fillId="0" borderId="1" xfId="0" applyFont="1" applyBorder="1" applyAlignment="1">
      <alignment horizontal="center" vertical="center"/>
    </xf>
    <xf numFmtId="0" fontId="0" fillId="0" borderId="2" xfId="0" applyBorder="1" applyAlignment="1">
      <alignment horizontal="center" vertical="center"/>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0" fillId="0" borderId="3" xfId="0" applyBorder="1" applyAlignment="1">
      <alignment horizontal="center" vertical="center"/>
    </xf>
    <xf numFmtId="0" fontId="3" fillId="2" borderId="3" xfId="37" applyFont="1" applyFill="1" applyBorder="1" applyAlignment="1">
      <alignment vertical="center"/>
    </xf>
    <xf numFmtId="0" fontId="2" fillId="0" borderId="1" xfId="37" applyBorder="1" applyAlignment="1">
      <alignment horizontal="center" vertical="center"/>
    </xf>
    <xf numFmtId="0" fontId="2" fillId="0" borderId="2" xfId="37" applyBorder="1" applyAlignment="1">
      <alignment horizontal="center" vertical="center"/>
    </xf>
    <xf numFmtId="0" fontId="2" fillId="0" borderId="3" xfId="37" applyBorder="1" applyAlignment="1">
      <alignment horizontal="center" vertical="center"/>
    </xf>
    <xf numFmtId="3" fontId="0" fillId="0" borderId="2" xfId="0" applyNumberFormat="1" applyBorder="1" applyAlignment="1">
      <alignment horizontal="center" vertical="center"/>
    </xf>
    <xf numFmtId="3" fontId="0" fillId="0" borderId="3"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0" fontId="17" fillId="0" borderId="0" xfId="0" applyFont="1" applyAlignment="1"/>
    <xf numFmtId="0" fontId="17" fillId="0" borderId="0" xfId="0" applyFont="1" applyAlignment="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0" borderId="0" xfId="0" applyBorder="1"/>
    <xf numFmtId="0" fontId="0" fillId="0" borderId="0" xfId="0" applyFill="1" applyBorder="1"/>
    <xf numFmtId="3" fontId="18" fillId="0" borderId="13" xfId="0" applyNumberFormat="1" applyFont="1" applyBorder="1" applyAlignment="1" applyProtection="1">
      <alignment horizontal="left" wrapText="1"/>
      <protection hidden="1"/>
    </xf>
    <xf numFmtId="3" fontId="2" fillId="0" borderId="10" xfId="0" applyNumberFormat="1" applyFont="1" applyBorder="1" applyAlignment="1" applyProtection="1">
      <alignment horizontal="center" wrapText="1"/>
      <protection hidden="1"/>
    </xf>
    <xf numFmtId="0" fontId="0" fillId="6" borderId="2" xfId="0" applyFill="1" applyBorder="1" applyAlignment="1">
      <alignment horizontal="center" vertical="center" wrapText="1"/>
    </xf>
    <xf numFmtId="0" fontId="39" fillId="0" borderId="0" xfId="0" applyFont="1" applyAlignment="1">
      <alignment vertical="top" wrapText="1"/>
    </xf>
    <xf numFmtId="3" fontId="2" fillId="0" borderId="8" xfId="0" applyNumberFormat="1" applyFont="1" applyBorder="1" applyAlignment="1" applyProtection="1">
      <alignment horizontal="left" wrapText="1"/>
      <protection hidden="1"/>
    </xf>
    <xf numFmtId="3" fontId="2" fillId="0" borderId="13" xfId="0" applyNumberFormat="1" applyFont="1" applyBorder="1" applyAlignment="1" applyProtection="1">
      <alignment horizontal="left" wrapText="1"/>
      <protection hidden="1"/>
    </xf>
    <xf numFmtId="0" fontId="0" fillId="0" borderId="11" xfId="0" applyBorder="1"/>
    <xf numFmtId="0" fontId="0" fillId="0" borderId="12" xfId="0" applyBorder="1"/>
    <xf numFmtId="0" fontId="39" fillId="0" borderId="0" xfId="0" applyFont="1"/>
    <xf numFmtId="0" fontId="4" fillId="0" borderId="8" xfId="0" applyFont="1" applyFill="1" applyBorder="1"/>
    <xf numFmtId="0" fontId="4" fillId="0" borderId="6" xfId="0" applyFont="1" applyBorder="1"/>
    <xf numFmtId="0" fontId="4" fillId="0" borderId="4" xfId="0" applyFont="1" applyBorder="1"/>
    <xf numFmtId="0" fontId="4" fillId="0" borderId="15" xfId="0" applyFont="1" applyFill="1" applyBorder="1"/>
    <xf numFmtId="0" fontId="4" fillId="0" borderId="10" xfId="0" applyFont="1" applyBorder="1"/>
    <xf numFmtId="0" fontId="4" fillId="0" borderId="9" xfId="0" applyFont="1" applyFill="1" applyBorder="1"/>
    <xf numFmtId="0" fontId="4" fillId="0" borderId="8" xfId="0" applyFont="1" applyBorder="1"/>
    <xf numFmtId="0" fontId="4" fillId="0" borderId="9" xfId="0" applyFont="1" applyBorder="1"/>
    <xf numFmtId="165" fontId="2" fillId="0" borderId="2" xfId="37" applyNumberFormat="1" applyFont="1" applyBorder="1" applyAlignment="1">
      <alignment vertical="center"/>
    </xf>
    <xf numFmtId="165" fontId="2" fillId="8" borderId="7" xfId="37" applyNumberFormat="1" applyFont="1" applyFill="1" applyBorder="1" applyAlignment="1">
      <alignment vertical="center"/>
    </xf>
    <xf numFmtId="165" fontId="2" fillId="9" borderId="2" xfId="37" applyNumberFormat="1" applyFont="1" applyFill="1" applyBorder="1" applyAlignment="1">
      <alignment vertical="center"/>
    </xf>
    <xf numFmtId="165" fontId="2" fillId="0" borderId="2" xfId="37" applyNumberFormat="1" applyFont="1" applyFill="1" applyBorder="1" applyAlignment="1">
      <alignment vertical="center"/>
    </xf>
    <xf numFmtId="165" fontId="2" fillId="0" borderId="3" xfId="37" applyNumberFormat="1" applyFont="1" applyBorder="1" applyAlignment="1">
      <alignment vertical="center"/>
    </xf>
    <xf numFmtId="165" fontId="2" fillId="0" borderId="1" xfId="37" applyNumberFormat="1" applyFont="1" applyBorder="1" applyAlignment="1">
      <alignment vertical="center"/>
    </xf>
    <xf numFmtId="165" fontId="2" fillId="0" borderId="7" xfId="37" applyNumberFormat="1" applyFont="1" applyBorder="1" applyAlignment="1">
      <alignment vertical="center"/>
    </xf>
    <xf numFmtId="165" fontId="2" fillId="0" borderId="19" xfId="37" applyNumberFormat="1" applyFont="1" applyBorder="1" applyAlignment="1">
      <alignment vertical="center"/>
    </xf>
    <xf numFmtId="38" fontId="0" fillId="0" borderId="0" xfId="0" applyNumberFormat="1"/>
    <xf numFmtId="0" fontId="2" fillId="0" borderId="0" xfId="0" applyFont="1"/>
    <xf numFmtId="4" fontId="0" fillId="0" borderId="0" xfId="0" applyNumberFormat="1"/>
    <xf numFmtId="3" fontId="2" fillId="0" borderId="8" xfId="0" applyNumberFormat="1" applyFont="1" applyBorder="1" applyAlignment="1" applyProtection="1">
      <protection hidden="1"/>
    </xf>
    <xf numFmtId="3" fontId="2" fillId="0" borderId="5" xfId="0" applyNumberFormat="1" applyFont="1" applyBorder="1" applyAlignment="1" applyProtection="1">
      <protection hidden="1"/>
    </xf>
    <xf numFmtId="3" fontId="2" fillId="0" borderId="2" xfId="0" applyNumberFormat="1" applyFont="1" applyBorder="1" applyAlignment="1" applyProtection="1">
      <alignment vertical="top"/>
      <protection hidden="1"/>
    </xf>
    <xf numFmtId="3" fontId="3" fillId="3" borderId="5" xfId="0" applyNumberFormat="1" applyFont="1" applyFill="1" applyBorder="1" applyAlignment="1" applyProtection="1">
      <protection hidden="1"/>
    </xf>
    <xf numFmtId="3" fontId="2" fillId="0" borderId="6" xfId="0" applyNumberFormat="1" applyFont="1" applyBorder="1" applyAlignment="1" applyProtection="1">
      <protection locked="0"/>
    </xf>
    <xf numFmtId="3" fontId="2" fillId="0" borderId="2" xfId="0" applyNumberFormat="1" applyFont="1" applyBorder="1" applyAlignment="1" applyProtection="1">
      <protection locked="0"/>
    </xf>
    <xf numFmtId="3" fontId="2" fillId="0" borderId="4" xfId="0" applyNumberFormat="1" applyFont="1" applyBorder="1" applyAlignment="1" applyProtection="1">
      <protection locked="0"/>
    </xf>
    <xf numFmtId="3" fontId="3" fillId="3" borderId="2" xfId="0" applyNumberFormat="1" applyFont="1" applyFill="1" applyBorder="1" applyAlignment="1" applyProtection="1">
      <protection hidden="1"/>
    </xf>
    <xf numFmtId="3" fontId="3" fillId="3" borderId="4" xfId="0" applyNumberFormat="1" applyFont="1" applyFill="1" applyBorder="1" applyAlignment="1" applyProtection="1">
      <protection hidden="1"/>
    </xf>
    <xf numFmtId="3" fontId="3" fillId="2" borderId="14" xfId="0" applyNumberFormat="1" applyFont="1" applyFill="1" applyBorder="1" applyAlignment="1" applyProtection="1">
      <protection hidden="1"/>
    </xf>
    <xf numFmtId="3" fontId="3" fillId="2" borderId="30" xfId="0" applyNumberFormat="1" applyFont="1" applyFill="1" applyBorder="1" applyAlignment="1" applyProtection="1">
      <protection hidden="1"/>
    </xf>
    <xf numFmtId="3" fontId="3" fillId="2" borderId="29" xfId="0" applyNumberFormat="1" applyFont="1" applyFill="1" applyBorder="1" applyAlignment="1" applyProtection="1">
      <protection hidden="1"/>
    </xf>
    <xf numFmtId="3" fontId="3" fillId="2" borderId="5" xfId="0" applyNumberFormat="1" applyFont="1" applyFill="1" applyBorder="1" applyAlignment="1" applyProtection="1">
      <protection hidden="1"/>
    </xf>
    <xf numFmtId="3" fontId="3" fillId="2" borderId="2" xfId="0" applyNumberFormat="1" applyFont="1" applyFill="1" applyBorder="1" applyAlignment="1" applyProtection="1">
      <protection hidden="1"/>
    </xf>
    <xf numFmtId="3" fontId="3" fillId="2" borderId="4" xfId="0" applyNumberFormat="1" applyFont="1" applyFill="1" applyBorder="1" applyAlignment="1" applyProtection="1">
      <protection hidden="1"/>
    </xf>
    <xf numFmtId="3" fontId="2" fillId="0" borderId="5" xfId="0" applyNumberFormat="1" applyFont="1" applyFill="1" applyBorder="1" applyAlignment="1" applyProtection="1">
      <protection hidden="1"/>
    </xf>
    <xf numFmtId="3" fontId="2" fillId="0" borderId="2" xfId="0" applyNumberFormat="1" applyFont="1" applyFill="1" applyBorder="1" applyAlignment="1" applyProtection="1">
      <protection locked="0"/>
    </xf>
    <xf numFmtId="3" fontId="2" fillId="0" borderId="4" xfId="0" applyNumberFormat="1" applyFont="1" applyFill="1" applyBorder="1" applyAlignment="1" applyProtection="1">
      <protection locked="0"/>
    </xf>
    <xf numFmtId="3" fontId="3" fillId="2" borderId="9" xfId="0" applyNumberFormat="1" applyFont="1" applyFill="1" applyBorder="1" applyAlignment="1" applyProtection="1">
      <protection hidden="1"/>
    </xf>
    <xf numFmtId="3" fontId="3" fillId="2" borderId="3" xfId="0" applyNumberFormat="1" applyFont="1" applyFill="1" applyBorder="1" applyAlignment="1" applyProtection="1">
      <protection hidden="1"/>
    </xf>
    <xf numFmtId="3" fontId="3" fillId="2" borderId="10" xfId="0" applyNumberFormat="1" applyFont="1" applyFill="1" applyBorder="1" applyAlignment="1" applyProtection="1">
      <protection hidden="1"/>
    </xf>
    <xf numFmtId="3" fontId="2" fillId="0" borderId="2" xfId="0" applyNumberFormat="1" applyFont="1" applyBorder="1" applyAlignment="1" applyProtection="1">
      <alignment horizontal="right" wrapText="1"/>
      <protection hidden="1"/>
    </xf>
    <xf numFmtId="3" fontId="2" fillId="0" borderId="2" xfId="0" applyNumberFormat="1" applyFont="1" applyBorder="1" applyAlignment="1" applyProtection="1">
      <alignment horizontal="right"/>
      <protection hidden="1"/>
    </xf>
    <xf numFmtId="1" fontId="3" fillId="3" borderId="7" xfId="0" applyNumberFormat="1" applyFont="1" applyFill="1" applyBorder="1"/>
    <xf numFmtId="1" fontId="4" fillId="0" borderId="2" xfId="0" applyNumberFormat="1" applyFont="1" applyBorder="1"/>
    <xf numFmtId="166" fontId="3" fillId="3" borderId="4" xfId="0" applyNumberFormat="1" applyFont="1" applyFill="1" applyBorder="1"/>
    <xf numFmtId="166" fontId="3" fillId="3" borderId="2" xfId="0" applyNumberFormat="1" applyFont="1" applyFill="1" applyBorder="1"/>
    <xf numFmtId="166" fontId="3" fillId="3" borderId="0" xfId="0" applyNumberFormat="1" applyFont="1" applyFill="1" applyBorder="1"/>
    <xf numFmtId="166" fontId="0" fillId="0" borderId="4" xfId="0" applyNumberFormat="1" applyFill="1" applyBorder="1"/>
    <xf numFmtId="166" fontId="0" fillId="0" borderId="2" xfId="0" applyNumberFormat="1" applyFill="1" applyBorder="1"/>
    <xf numFmtId="166" fontId="0" fillId="0" borderId="4" xfId="0" applyNumberFormat="1" applyBorder="1"/>
    <xf numFmtId="166" fontId="0" fillId="0" borderId="2" xfId="0" applyNumberFormat="1" applyBorder="1"/>
    <xf numFmtId="166" fontId="0" fillId="0" borderId="5" xfId="0" applyNumberFormat="1" applyBorder="1"/>
    <xf numFmtId="166" fontId="0" fillId="0" borderId="2" xfId="0" applyNumberFormat="1" applyFill="1" applyBorder="1" applyAlignment="1">
      <alignment horizontal="right"/>
    </xf>
    <xf numFmtId="166" fontId="0" fillId="0" borderId="5" xfId="0" applyNumberFormat="1" applyFill="1" applyBorder="1"/>
    <xf numFmtId="166" fontId="3" fillId="3" borderId="5" xfId="0" applyNumberFormat="1" applyFont="1" applyFill="1" applyBorder="1"/>
    <xf numFmtId="166" fontId="3" fillId="0" borderId="2" xfId="0" applyNumberFormat="1" applyFont="1" applyFill="1" applyBorder="1"/>
    <xf numFmtId="166" fontId="3" fillId="0" borderId="0" xfId="0" applyNumberFormat="1" applyFont="1" applyFill="1" applyBorder="1"/>
    <xf numFmtId="166" fontId="3" fillId="0" borderId="5" xfId="0" applyNumberFormat="1" applyFont="1" applyFill="1" applyBorder="1"/>
    <xf numFmtId="4" fontId="0" fillId="0" borderId="0" xfId="0" applyNumberFormat="1" applyAlignment="1">
      <alignment horizontal="left"/>
    </xf>
    <xf numFmtId="3" fontId="2" fillId="0" borderId="2" xfId="0" applyNumberFormat="1" applyFont="1" applyFill="1" applyBorder="1"/>
    <xf numFmtId="1" fontId="4" fillId="0" borderId="2" xfId="0" applyNumberFormat="1" applyFont="1" applyFill="1" applyBorder="1" applyAlignment="1">
      <alignment horizontal="right"/>
    </xf>
    <xf numFmtId="1" fontId="4" fillId="0" borderId="2" xfId="0" applyNumberFormat="1" applyFont="1" applyBorder="1" applyAlignment="1">
      <alignment horizontal="right"/>
    </xf>
    <xf numFmtId="1" fontId="27" fillId="0" borderId="2" xfId="6" applyNumberFormat="1" applyFont="1" applyBorder="1" applyAlignment="1">
      <alignment horizontal="right"/>
    </xf>
    <xf numFmtId="3" fontId="4" fillId="0" borderId="2" xfId="0" applyNumberFormat="1" applyFont="1" applyBorder="1" applyAlignment="1">
      <alignment horizontal="right"/>
    </xf>
    <xf numFmtId="1" fontId="4" fillId="0" borderId="0" xfId="0" applyNumberFormat="1" applyFont="1" applyFill="1" applyBorder="1"/>
    <xf numFmtId="1" fontId="40" fillId="0" borderId="0" xfId="0" applyNumberFormat="1" applyFont="1" applyFill="1" applyBorder="1"/>
    <xf numFmtId="1" fontId="2" fillId="0" borderId="2" xfId="0" applyNumberFormat="1" applyFont="1" applyBorder="1" applyAlignment="1">
      <alignment horizontal="right"/>
    </xf>
    <xf numFmtId="1" fontId="2" fillId="0" borderId="2" xfId="0" applyNumberFormat="1" applyFont="1" applyBorder="1"/>
    <xf numFmtId="0" fontId="2" fillId="0" borderId="2" xfId="6" applyFont="1" applyBorder="1"/>
    <xf numFmtId="0" fontId="2" fillId="0" borderId="1" xfId="6" applyFont="1" applyBorder="1"/>
    <xf numFmtId="3" fontId="4" fillId="8" borderId="2" xfId="0" applyNumberFormat="1" applyFont="1" applyFill="1" applyBorder="1"/>
    <xf numFmtId="3" fontId="4" fillId="0" borderId="2" xfId="0" applyNumberFormat="1" applyFont="1" applyFill="1" applyBorder="1"/>
    <xf numFmtId="3" fontId="4" fillId="0" borderId="2" xfId="0" applyNumberFormat="1" applyFont="1" applyBorder="1"/>
    <xf numFmtId="3" fontId="4" fillId="0" borderId="3" xfId="0" applyNumberFormat="1" applyFont="1" applyFill="1" applyBorder="1"/>
    <xf numFmtId="3" fontId="4" fillId="0" borderId="3" xfId="0" applyNumberFormat="1" applyFont="1" applyBorder="1"/>
    <xf numFmtId="1" fontId="0" fillId="0" borderId="0" xfId="0" applyNumberFormat="1"/>
    <xf numFmtId="0" fontId="2" fillId="2" borderId="2" xfId="0" applyFont="1" applyFill="1" applyBorder="1" applyAlignment="1">
      <alignment horizontal="center"/>
    </xf>
    <xf numFmtId="0" fontId="2" fillId="2" borderId="2" xfId="0" applyNumberFormat="1" applyFont="1" applyFill="1" applyBorder="1" applyAlignment="1">
      <alignment horizontal="center"/>
    </xf>
    <xf numFmtId="3" fontId="2" fillId="0" borderId="11" xfId="0" applyNumberFormat="1" applyFont="1" applyBorder="1" applyAlignment="1" applyProtection="1">
      <alignment horizontal="center" wrapText="1"/>
      <protection hidden="1"/>
    </xf>
    <xf numFmtId="3" fontId="2" fillId="0" borderId="12" xfId="0" applyNumberFormat="1" applyFont="1" applyBorder="1" applyAlignment="1" applyProtection="1">
      <alignment horizontal="center" wrapText="1"/>
      <protection hidden="1"/>
    </xf>
    <xf numFmtId="3" fontId="18" fillId="0" borderId="12" xfId="0" applyNumberFormat="1" applyFont="1" applyBorder="1" applyAlignment="1" applyProtection="1">
      <alignment horizontal="left" wrapText="1"/>
      <protection hidden="1"/>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0" fillId="0" borderId="2" xfId="0" applyBorder="1" applyAlignment="1">
      <alignment horizontal="center" vertical="center"/>
    </xf>
    <xf numFmtId="0" fontId="40" fillId="0" borderId="2" xfId="0" applyFont="1" applyFill="1" applyBorder="1"/>
    <xf numFmtId="0" fontId="40" fillId="0" borderId="2" xfId="0" applyFont="1" applyBorder="1"/>
    <xf numFmtId="165" fontId="40" fillId="0" borderId="2" xfId="37" applyNumberFormat="1" applyFont="1" applyBorder="1" applyAlignment="1">
      <alignment vertical="center"/>
    </xf>
    <xf numFmtId="165" fontId="40" fillId="0" borderId="3" xfId="37" applyNumberFormat="1" applyFont="1" applyBorder="1" applyAlignment="1">
      <alignment vertical="center"/>
    </xf>
    <xf numFmtId="3" fontId="2" fillId="0" borderId="2" xfId="0" applyNumberFormat="1" applyFont="1" applyBorder="1" applyAlignment="1" applyProtection="1">
      <protection hidden="1"/>
    </xf>
    <xf numFmtId="3" fontId="0" fillId="0" borderId="0" xfId="0" applyNumberFormat="1" applyBorder="1"/>
    <xf numFmtId="3" fontId="2" fillId="0" borderId="0" xfId="0" applyNumberFormat="1" applyFont="1" applyBorder="1"/>
    <xf numFmtId="3" fontId="0" fillId="0" borderId="0" xfId="0" applyNumberFormat="1" applyBorder="1" applyAlignment="1">
      <alignment horizontal="center" vertical="center"/>
    </xf>
    <xf numFmtId="0" fontId="5" fillId="0" borderId="0" xfId="37" applyFont="1"/>
    <xf numFmtId="3" fontId="2" fillId="0" borderId="3" xfId="0" applyNumberFormat="1" applyFont="1" applyFill="1" applyBorder="1"/>
    <xf numFmtId="3" fontId="22" fillId="0" borderId="5" xfId="0" applyNumberFormat="1" applyFont="1" applyBorder="1" applyAlignment="1">
      <alignment wrapText="1"/>
    </xf>
    <xf numFmtId="3" fontId="22" fillId="0" borderId="5" xfId="0" applyNumberFormat="1" applyFont="1" applyBorder="1" applyAlignment="1">
      <alignment horizontal="left" vertical="center" wrapText="1"/>
    </xf>
    <xf numFmtId="3" fontId="2" fillId="0" borderId="5" xfId="0" applyNumberFormat="1" applyFont="1" applyBorder="1" applyAlignment="1">
      <alignment horizontal="left" vertical="center"/>
    </xf>
    <xf numFmtId="3" fontId="22" fillId="0" borderId="2" xfId="0" applyNumberFormat="1" applyFont="1" applyBorder="1" applyAlignment="1">
      <alignment horizontal="left" vertical="center" wrapText="1"/>
    </xf>
    <xf numFmtId="3" fontId="2" fillId="0" borderId="1" xfId="0" applyNumberFormat="1" applyFont="1" applyFill="1" applyBorder="1" applyAlignment="1" applyProtection="1">
      <protection locked="0"/>
    </xf>
    <xf numFmtId="3" fontId="2" fillId="0" borderId="6" xfId="0" applyNumberFormat="1" applyFont="1" applyFill="1" applyBorder="1" applyAlignment="1" applyProtection="1">
      <protection locked="0"/>
    </xf>
    <xf numFmtId="0" fontId="2" fillId="0" borderId="9" xfId="0" applyFont="1" applyFill="1" applyBorder="1"/>
    <xf numFmtId="1" fontId="27" fillId="0" borderId="2" xfId="6" applyNumberFormat="1" applyFont="1" applyFill="1" applyBorder="1" applyAlignment="1">
      <alignment horizontal="right"/>
    </xf>
    <xf numFmtId="3" fontId="2" fillId="0" borderId="11" xfId="0" applyNumberFormat="1" applyFont="1" applyBorder="1" applyAlignment="1" applyProtection="1">
      <alignment horizontal="center" wrapText="1"/>
      <protection hidden="1"/>
    </xf>
    <xf numFmtId="3" fontId="18" fillId="0" borderId="15" xfId="0" applyNumberFormat="1" applyFont="1" applyBorder="1" applyAlignment="1" applyProtection="1">
      <alignment horizontal="left" wrapText="1"/>
      <protection hidden="1"/>
    </xf>
    <xf numFmtId="3" fontId="2" fillId="0" borderId="15" xfId="0" applyNumberFormat="1" applyFont="1" applyBorder="1" applyAlignment="1" applyProtection="1">
      <alignment wrapText="1"/>
      <protection hidden="1"/>
    </xf>
    <xf numFmtId="0" fontId="17" fillId="0" borderId="5" xfId="6" applyFont="1" applyBorder="1" applyAlignment="1">
      <alignment horizontal="center" vertical="center"/>
    </xf>
    <xf numFmtId="0" fontId="17" fillId="0" borderId="0" xfId="6"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4" fillId="0" borderId="11" xfId="6" applyFont="1" applyBorder="1" applyAlignment="1">
      <alignment horizontal="center" vertical="center"/>
    </xf>
    <xf numFmtId="0" fontId="24" fillId="0" borderId="12" xfId="6" applyFont="1" applyBorder="1" applyAlignment="1">
      <alignment horizontal="center" vertical="center"/>
    </xf>
    <xf numFmtId="0" fontId="24" fillId="0" borderId="16" xfId="6" applyFont="1" applyBorder="1" applyAlignment="1">
      <alignment horizontal="center" vertical="center"/>
    </xf>
    <xf numFmtId="0" fontId="24" fillId="4" borderId="8" xfId="6" applyFont="1" applyFill="1" applyBorder="1" applyAlignment="1">
      <alignment horizontal="center" vertical="center"/>
    </xf>
    <xf numFmtId="0" fontId="24" fillId="4" borderId="13" xfId="6" applyFont="1" applyFill="1" applyBorder="1" applyAlignment="1">
      <alignment horizontal="center" vertical="center"/>
    </xf>
    <xf numFmtId="0" fontId="24" fillId="4" borderId="6" xfId="6" applyFont="1" applyFill="1" applyBorder="1" applyAlignment="1">
      <alignment horizontal="center" vertical="center"/>
    </xf>
    <xf numFmtId="0" fontId="24" fillId="2" borderId="9" xfId="6" applyFont="1" applyFill="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17" fillId="0" borderId="0" xfId="6" applyFont="1" applyBorder="1" applyAlignment="1">
      <alignment vertical="center"/>
    </xf>
    <xf numFmtId="0" fontId="17" fillId="0" borderId="0" xfId="0" applyFont="1" applyAlignment="1"/>
    <xf numFmtId="0" fontId="17" fillId="0" borderId="4" xfId="0" applyFont="1" applyBorder="1" applyAlignment="1"/>
    <xf numFmtId="0" fontId="17" fillId="0" borderId="4" xfId="6" applyFont="1" applyBorder="1" applyAlignment="1">
      <alignment horizontal="center" vertical="center"/>
    </xf>
    <xf numFmtId="3" fontId="3" fillId="0" borderId="13" xfId="0" applyNumberFormat="1" applyFont="1" applyBorder="1" applyAlignment="1" applyProtection="1">
      <alignment wrapText="1"/>
      <protection hidden="1"/>
    </xf>
    <xf numFmtId="0" fontId="0" fillId="0" borderId="12" xfId="0" applyBorder="1" applyAlignment="1">
      <alignment wrapText="1"/>
    </xf>
    <xf numFmtId="3" fontId="18" fillId="0" borderId="0" xfId="0" applyNumberFormat="1" applyFont="1" applyBorder="1" applyAlignment="1" applyProtection="1">
      <alignment wrapText="1"/>
      <protection hidden="1"/>
    </xf>
    <xf numFmtId="0" fontId="18" fillId="0" borderId="15" xfId="0" applyFont="1" applyBorder="1" applyAlignment="1">
      <alignment wrapText="1"/>
    </xf>
    <xf numFmtId="0" fontId="18" fillId="0" borderId="10" xfId="0" applyFont="1" applyBorder="1" applyAlignment="1">
      <alignment wrapText="1"/>
    </xf>
    <xf numFmtId="3" fontId="21" fillId="0" borderId="11" xfId="0" applyNumberFormat="1" applyFont="1" applyBorder="1" applyAlignment="1" applyProtection="1">
      <alignment horizontal="center" wrapText="1"/>
      <protection locked="0"/>
    </xf>
    <xf numFmtId="3" fontId="21" fillId="0" borderId="12" xfId="0" applyNumberFormat="1" applyFont="1" applyBorder="1" applyAlignment="1" applyProtection="1">
      <alignment horizontal="center" wrapText="1"/>
      <protection locked="0"/>
    </xf>
    <xf numFmtId="3" fontId="21" fillId="0" borderId="16" xfId="0" applyNumberFormat="1" applyFont="1" applyBorder="1" applyAlignment="1" applyProtection="1">
      <alignment horizontal="center" wrapText="1"/>
      <protection locked="0"/>
    </xf>
    <xf numFmtId="3" fontId="2" fillId="0" borderId="1" xfId="0" applyNumberFormat="1" applyFont="1" applyBorder="1" applyAlignment="1" applyProtection="1">
      <alignment horizontal="center" vertical="center" wrapText="1"/>
      <protection hidden="1"/>
    </xf>
    <xf numFmtId="3" fontId="2" fillId="0" borderId="2" xfId="0" applyNumberFormat="1" applyFont="1" applyBorder="1" applyAlignment="1" applyProtection="1">
      <alignment horizontal="center" vertical="center" wrapText="1"/>
      <protection hidden="1"/>
    </xf>
    <xf numFmtId="3" fontId="2" fillId="0" borderId="3" xfId="0" applyNumberFormat="1" applyFont="1" applyBorder="1" applyAlignment="1" applyProtection="1">
      <alignment horizontal="center" vertical="center" wrapText="1"/>
      <protection hidden="1"/>
    </xf>
    <xf numFmtId="3" fontId="2" fillId="0" borderId="13" xfId="0" applyNumberFormat="1" applyFont="1" applyBorder="1" applyAlignment="1" applyProtection="1">
      <alignment horizontal="center" vertical="center" wrapText="1"/>
      <protection hidden="1"/>
    </xf>
    <xf numFmtId="3" fontId="2" fillId="0" borderId="0" xfId="0" applyNumberFormat="1" applyFont="1" applyBorder="1" applyAlignment="1" applyProtection="1">
      <alignment horizontal="center" vertical="center" wrapText="1"/>
      <protection hidden="1"/>
    </xf>
    <xf numFmtId="3" fontId="2" fillId="0" borderId="2" xfId="0" applyNumberFormat="1" applyFont="1" applyBorder="1" applyAlignment="1" applyProtection="1">
      <alignment horizontal="center" vertical="center"/>
      <protection hidden="1"/>
    </xf>
    <xf numFmtId="3" fontId="2" fillId="0" borderId="3" xfId="0" applyNumberFormat="1" applyFont="1" applyBorder="1" applyAlignment="1" applyProtection="1">
      <alignment horizontal="center" vertical="center"/>
      <protection hidden="1"/>
    </xf>
    <xf numFmtId="3" fontId="2" fillId="0" borderId="0" xfId="0" applyNumberFormat="1" applyFont="1" applyBorder="1" applyAlignment="1" applyProtection="1">
      <alignment horizontal="center" vertical="center"/>
      <protection hidden="1"/>
    </xf>
    <xf numFmtId="3" fontId="21" fillId="0" borderId="11" xfId="0" applyNumberFormat="1" applyFont="1" applyBorder="1" applyAlignment="1" applyProtection="1">
      <alignment horizontal="center" vertical="center" wrapText="1"/>
      <protection hidden="1"/>
    </xf>
    <xf numFmtId="3" fontId="21" fillId="0" borderId="12" xfId="0" applyNumberFormat="1" applyFont="1" applyBorder="1" applyAlignment="1" applyProtection="1">
      <alignment horizontal="center" vertical="center" wrapText="1"/>
      <protection hidden="1"/>
    </xf>
    <xf numFmtId="3" fontId="21" fillId="0" borderId="16" xfId="0" applyNumberFormat="1" applyFont="1" applyBorder="1" applyAlignment="1" applyProtection="1">
      <alignment horizontal="center" vertical="center" wrapText="1"/>
      <protection hidden="1"/>
    </xf>
    <xf numFmtId="3" fontId="2" fillId="0" borderId="8" xfId="0" applyNumberFormat="1" applyFont="1" applyBorder="1" applyAlignment="1" applyProtection="1">
      <alignment horizontal="center" vertical="center"/>
      <protection hidden="1"/>
    </xf>
    <xf numFmtId="3" fontId="4" fillId="0" borderId="13" xfId="0" applyNumberFormat="1" applyFont="1" applyBorder="1" applyAlignment="1" applyProtection="1">
      <alignment horizontal="center" vertical="center"/>
      <protection hidden="1"/>
    </xf>
    <xf numFmtId="3" fontId="4" fillId="0" borderId="5" xfId="0" applyNumberFormat="1" applyFont="1" applyBorder="1" applyAlignment="1" applyProtection="1">
      <alignment horizontal="center" vertical="center"/>
      <protection hidden="1"/>
    </xf>
    <xf numFmtId="3" fontId="4" fillId="0" borderId="0" xfId="0" applyNumberFormat="1" applyFont="1" applyBorder="1" applyAlignment="1" applyProtection="1">
      <alignment horizontal="center" vertical="center"/>
      <protection hidden="1"/>
    </xf>
    <xf numFmtId="3" fontId="4" fillId="0" borderId="15" xfId="0" applyNumberFormat="1" applyFont="1" applyBorder="1" applyAlignment="1" applyProtection="1">
      <alignment horizontal="center" vertical="center"/>
      <protection hidden="1"/>
    </xf>
    <xf numFmtId="0" fontId="17" fillId="0" borderId="11" xfId="0" applyFont="1" applyBorder="1" applyAlignment="1">
      <alignment horizontal="center"/>
    </xf>
    <xf numFmtId="0" fontId="17" fillId="0" borderId="12" xfId="0" applyFont="1" applyBorder="1" applyAlignment="1">
      <alignment horizontal="center"/>
    </xf>
    <xf numFmtId="0" fontId="17" fillId="0" borderId="16" xfId="0" applyFont="1" applyBorder="1" applyAlignment="1">
      <alignment horizontal="center"/>
    </xf>
    <xf numFmtId="3" fontId="2" fillId="0" borderId="11" xfId="0" applyNumberFormat="1" applyFont="1" applyBorder="1" applyAlignment="1" applyProtection="1">
      <alignment horizontal="center" wrapText="1"/>
      <protection hidden="1"/>
    </xf>
    <xf numFmtId="3" fontId="2" fillId="0" borderId="12" xfId="0" applyNumberFormat="1" applyFont="1" applyBorder="1" applyAlignment="1" applyProtection="1">
      <alignment horizontal="center" wrapText="1"/>
      <protection hidden="1"/>
    </xf>
    <xf numFmtId="3" fontId="2" fillId="0" borderId="9" xfId="0" applyNumberFormat="1" applyFont="1" applyBorder="1" applyAlignment="1" applyProtection="1">
      <alignment horizontal="left"/>
      <protection hidden="1"/>
    </xf>
    <xf numFmtId="3" fontId="2" fillId="0" borderId="15" xfId="0" applyNumberFormat="1" applyFont="1" applyBorder="1" applyAlignment="1" applyProtection="1">
      <alignment horizontal="left"/>
      <protection hidden="1"/>
    </xf>
    <xf numFmtId="3" fontId="18" fillId="0" borderId="12" xfId="0" applyNumberFormat="1" applyFont="1" applyBorder="1" applyAlignment="1" applyProtection="1">
      <alignment horizontal="left" wrapText="1"/>
      <protection hidden="1"/>
    </xf>
    <xf numFmtId="3" fontId="18" fillId="0" borderId="16" xfId="0" applyNumberFormat="1" applyFont="1" applyBorder="1" applyAlignment="1" applyProtection="1">
      <alignment horizontal="left" wrapText="1"/>
      <protection hidden="1"/>
    </xf>
    <xf numFmtId="3" fontId="2" fillId="0" borderId="16" xfId="0" applyNumberFormat="1" applyFont="1" applyBorder="1" applyAlignment="1" applyProtection="1">
      <alignment horizontal="center" wrapText="1"/>
      <protection hidden="1"/>
    </xf>
    <xf numFmtId="0" fontId="17" fillId="4" borderId="11" xfId="6" applyFont="1" applyFill="1" applyBorder="1" applyAlignment="1">
      <alignment horizontal="center"/>
    </xf>
    <xf numFmtId="0" fontId="17" fillId="4" borderId="12" xfId="6" applyFont="1" applyFill="1" applyBorder="1" applyAlignment="1">
      <alignment horizontal="center"/>
    </xf>
    <xf numFmtId="0" fontId="17" fillId="4" borderId="16" xfId="6" applyFont="1" applyFill="1" applyBorder="1" applyAlignment="1">
      <alignment horizontal="center"/>
    </xf>
    <xf numFmtId="3" fontId="18" fillId="0" borderId="11" xfId="0" applyNumberFormat="1" applyFont="1" applyBorder="1" applyAlignment="1" applyProtection="1">
      <alignment horizontal="center" wrapText="1"/>
      <protection hidden="1"/>
    </xf>
    <xf numFmtId="3" fontId="18" fillId="0" borderId="16" xfId="0" applyNumberFormat="1" applyFont="1" applyBorder="1" applyAlignment="1" applyProtection="1">
      <alignment horizontal="center" wrapText="1"/>
      <protection hidden="1"/>
    </xf>
    <xf numFmtId="3" fontId="18" fillId="0" borderId="12" xfId="0" applyNumberFormat="1" applyFont="1" applyBorder="1" applyAlignment="1" applyProtection="1">
      <alignment horizontal="center" wrapText="1"/>
      <protection hidden="1"/>
    </xf>
    <xf numFmtId="165" fontId="2" fillId="0" borderId="23" xfId="37" applyNumberFormat="1" applyFont="1" applyBorder="1" applyAlignment="1">
      <alignment horizontal="center" vertical="center"/>
    </xf>
    <xf numFmtId="165" fontId="2" fillId="0" borderId="24" xfId="37" applyNumberFormat="1" applyFont="1" applyBorder="1" applyAlignment="1">
      <alignment horizontal="center" vertical="center"/>
    </xf>
    <xf numFmtId="165" fontId="2" fillId="0" borderId="25" xfId="37" applyNumberFormat="1" applyFont="1" applyBorder="1" applyAlignment="1">
      <alignment horizontal="center" vertical="center"/>
    </xf>
    <xf numFmtId="165" fontId="2" fillId="0" borderId="20" xfId="37" applyNumberFormat="1" applyFont="1" applyBorder="1" applyAlignment="1">
      <alignment horizontal="center" vertical="center"/>
    </xf>
    <xf numFmtId="165" fontId="2" fillId="0" borderId="21" xfId="37" applyNumberFormat="1" applyFont="1" applyBorder="1" applyAlignment="1">
      <alignment horizontal="center" vertical="center"/>
    </xf>
    <xf numFmtId="165" fontId="2" fillId="0" borderId="22" xfId="37" applyNumberFormat="1" applyFont="1" applyBorder="1" applyAlignment="1">
      <alignment horizontal="center" vertical="center"/>
    </xf>
    <xf numFmtId="165" fontId="2" fillId="0" borderId="26" xfId="37" applyNumberFormat="1" applyFont="1" applyBorder="1" applyAlignment="1">
      <alignment horizontal="center" vertical="center"/>
    </xf>
    <xf numFmtId="165" fontId="2" fillId="0" borderId="27" xfId="37" applyNumberFormat="1" applyFont="1" applyBorder="1" applyAlignment="1">
      <alignment horizontal="center" vertical="center"/>
    </xf>
    <xf numFmtId="165" fontId="2" fillId="0" borderId="28" xfId="37" applyNumberFormat="1" applyFont="1" applyBorder="1" applyAlignment="1">
      <alignment horizontal="center" vertical="center"/>
    </xf>
    <xf numFmtId="165" fontId="2" fillId="0" borderId="2" xfId="37" applyNumberFormat="1" applyFont="1" applyFill="1" applyBorder="1" applyAlignment="1">
      <alignment horizontal="center" vertical="center"/>
    </xf>
    <xf numFmtId="0" fontId="17" fillId="0" borderId="11" xfId="37" applyFont="1" applyBorder="1" applyAlignment="1">
      <alignment horizontal="center"/>
    </xf>
    <xf numFmtId="0" fontId="17" fillId="0" borderId="12" xfId="37" applyFont="1" applyBorder="1" applyAlignment="1">
      <alignment horizontal="center"/>
    </xf>
    <xf numFmtId="0" fontId="17" fillId="0" borderId="16" xfId="37" applyFont="1" applyBorder="1" applyAlignment="1">
      <alignment horizontal="center"/>
    </xf>
    <xf numFmtId="3" fontId="18" fillId="0" borderId="11" xfId="0" applyNumberFormat="1" applyFont="1" applyBorder="1" applyAlignment="1" applyProtection="1">
      <alignment horizontal="left" vertical="center" wrapText="1"/>
      <protection hidden="1"/>
    </xf>
    <xf numFmtId="3" fontId="18" fillId="0" borderId="12" xfId="0" applyNumberFormat="1" applyFont="1" applyBorder="1" applyAlignment="1" applyProtection="1">
      <alignment horizontal="left" vertical="center" wrapText="1"/>
      <protection hidden="1"/>
    </xf>
    <xf numFmtId="3" fontId="18" fillId="0" borderId="16" xfId="0" applyNumberFormat="1" applyFont="1" applyBorder="1" applyAlignment="1" applyProtection="1">
      <alignment horizontal="left" vertical="center" wrapText="1"/>
      <protection hidden="1"/>
    </xf>
    <xf numFmtId="0" fontId="41" fillId="0" borderId="0" xfId="37" applyFont="1" applyFill="1" applyBorder="1" applyAlignment="1">
      <alignment vertical="center" wrapText="1"/>
    </xf>
    <xf numFmtId="0" fontId="2" fillId="0" borderId="0" xfId="37" applyFont="1" applyFill="1" applyAlignment="1">
      <alignment vertical="center" wrapText="1"/>
    </xf>
    <xf numFmtId="0" fontId="31" fillId="0" borderId="0" xfId="37" applyFont="1" applyFill="1" applyBorder="1" applyAlignment="1">
      <alignment wrapText="1"/>
    </xf>
    <xf numFmtId="0" fontId="5" fillId="0" borderId="0" xfId="37" applyFont="1"/>
    <xf numFmtId="0" fontId="31" fillId="0" borderId="0" xfId="37" applyFont="1" applyFill="1" applyBorder="1" applyAlignment="1">
      <alignment vertical="center" wrapText="1"/>
    </xf>
    <xf numFmtId="0" fontId="5" fillId="0" borderId="0" xfId="37" applyFont="1" applyAlignment="1">
      <alignment vertical="center" wrapText="1"/>
    </xf>
    <xf numFmtId="165" fontId="2" fillId="0" borderId="2" xfId="37" applyNumberFormat="1" applyFont="1" applyFill="1" applyBorder="1" applyAlignment="1">
      <alignment vertical="center"/>
    </xf>
    <xf numFmtId="165" fontId="0" fillId="0" borderId="2" xfId="0" applyNumberFormat="1" applyBorder="1" applyAlignment="1">
      <alignment vertical="center"/>
    </xf>
    <xf numFmtId="0" fontId="34" fillId="0" borderId="11" xfId="0" applyFont="1" applyFill="1" applyBorder="1" applyAlignment="1">
      <alignment horizontal="center"/>
    </xf>
    <xf numFmtId="0" fontId="33" fillId="0" borderId="12" xfId="0" applyFont="1" applyBorder="1" applyAlignment="1">
      <alignment horizontal="center"/>
    </xf>
    <xf numFmtId="0" fontId="33" fillId="0" borderId="16" xfId="0" applyFont="1" applyBorder="1" applyAlignment="1">
      <alignment horizontal="center"/>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3" fontId="2" fillId="0" borderId="11" xfId="0" applyNumberFormat="1" applyFont="1" applyBorder="1" applyAlignment="1" applyProtection="1">
      <alignment horizontal="left" wrapText="1"/>
      <protection hidden="1"/>
    </xf>
    <xf numFmtId="3" fontId="2" fillId="0" borderId="12" xfId="0" applyNumberFormat="1" applyFont="1" applyBorder="1" applyAlignment="1" applyProtection="1">
      <alignment horizontal="left" wrapText="1"/>
      <protection hidden="1"/>
    </xf>
    <xf numFmtId="3" fontId="18" fillId="0" borderId="15" xfId="0" applyNumberFormat="1" applyFont="1" applyBorder="1" applyAlignment="1" applyProtection="1">
      <alignment horizontal="left" wrapText="1"/>
      <protection hidden="1"/>
    </xf>
    <xf numFmtId="3" fontId="18" fillId="0" borderId="10" xfId="0" applyNumberFormat="1" applyFont="1" applyBorder="1" applyAlignment="1" applyProtection="1">
      <alignment horizontal="left" wrapText="1"/>
      <protection hidden="1"/>
    </xf>
    <xf numFmtId="0" fontId="2" fillId="0" borderId="1" xfId="0" applyFont="1" applyBorder="1" applyAlignment="1">
      <alignment horizontal="center" vertical="center"/>
    </xf>
    <xf numFmtId="0" fontId="0" fillId="0" borderId="2" xfId="0" applyBorder="1" applyAlignment="1">
      <alignment horizontal="center" vertical="center"/>
    </xf>
    <xf numFmtId="0" fontId="39" fillId="0" borderId="0" xfId="0" applyFont="1" applyAlignment="1">
      <alignment horizontal="left" vertical="top" wrapText="1"/>
    </xf>
    <xf numFmtId="0" fontId="18" fillId="0" borderId="11" xfId="0" applyFont="1" applyBorder="1" applyAlignment="1">
      <alignment horizontal="center"/>
    </xf>
    <xf numFmtId="0" fontId="18" fillId="0" borderId="16" xfId="0" applyFont="1" applyBorder="1" applyAlignment="1">
      <alignment horizontal="center"/>
    </xf>
    <xf numFmtId="0" fontId="18" fillId="0" borderId="12" xfId="0" applyFont="1" applyBorder="1" applyAlignment="1">
      <alignment horizontal="center"/>
    </xf>
  </cellXfs>
  <cellStyles count="39">
    <cellStyle name="Datum 10" xfId="1"/>
    <cellStyle name="Datum 11" xfId="2"/>
    <cellStyle name="Datum 12" xfId="3"/>
    <cellStyle name="Datum 8" xfId="4"/>
    <cellStyle name="Datum 9" xfId="5"/>
    <cellStyle name="Standard" xfId="0" builtinId="0"/>
    <cellStyle name="Standard 2" xfId="37"/>
    <cellStyle name="Standard 3" xfId="38"/>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9"/>
  <sheetViews>
    <sheetView view="pageLayout" topLeftCell="A4" zoomScale="60" zoomScaleNormal="75" zoomScalePageLayoutView="60" workbookViewId="0">
      <selection activeCell="C31" sqref="C31"/>
    </sheetView>
  </sheetViews>
  <sheetFormatPr baseColWidth="10" defaultRowHeight="14.25"/>
  <cols>
    <col min="1" max="1" width="42.140625" style="1" customWidth="1"/>
    <col min="2" max="2" width="17.28515625" style="1" customWidth="1"/>
    <col min="3" max="6" width="11.42578125" style="1"/>
    <col min="7" max="7" width="12.42578125" style="1" customWidth="1"/>
    <col min="8" max="10" width="11.42578125" style="1"/>
  </cols>
  <sheetData>
    <row r="1" spans="1:10" s="31" customFormat="1" ht="15.75" customHeight="1">
      <c r="A1" s="16"/>
      <c r="B1" s="18"/>
      <c r="C1" s="18"/>
      <c r="D1" s="18"/>
      <c r="E1" s="18"/>
      <c r="F1" s="18"/>
      <c r="G1" s="3"/>
      <c r="H1" s="18"/>
      <c r="I1" s="18"/>
      <c r="J1" s="18"/>
    </row>
    <row r="2" spans="1:10" s="31" customFormat="1" ht="15.75" customHeight="1">
      <c r="A2" s="218"/>
      <c r="C2" s="18"/>
      <c r="D2" s="18"/>
      <c r="E2" s="18"/>
      <c r="F2" s="18"/>
      <c r="G2" s="3"/>
      <c r="H2" s="18"/>
      <c r="I2" s="18"/>
      <c r="J2" s="18"/>
    </row>
    <row r="3" spans="1:10" s="31" customFormat="1" ht="15.75" customHeight="1">
      <c r="A3" s="18"/>
      <c r="B3" s="18"/>
      <c r="C3" s="18"/>
      <c r="D3" s="18"/>
      <c r="E3" s="18"/>
      <c r="F3" s="18"/>
      <c r="G3" s="3"/>
      <c r="H3" s="18"/>
      <c r="I3" s="18"/>
      <c r="J3" s="18"/>
    </row>
    <row r="4" spans="1:10">
      <c r="A4" s="17"/>
      <c r="B4" s="17"/>
      <c r="C4" s="17"/>
      <c r="D4" s="17"/>
      <c r="E4" s="17"/>
      <c r="F4" s="17"/>
      <c r="G4" s="3"/>
    </row>
    <row r="5" spans="1:10">
      <c r="A5" s="17"/>
      <c r="B5" s="17"/>
      <c r="C5" s="17"/>
      <c r="D5" s="17"/>
      <c r="E5" s="17"/>
      <c r="F5" s="17"/>
      <c r="G5" s="17"/>
    </row>
    <row r="6" spans="1:10">
      <c r="A6" s="17"/>
      <c r="B6" s="17"/>
      <c r="C6" s="17"/>
      <c r="D6" s="17"/>
      <c r="E6" s="17"/>
      <c r="F6" s="17"/>
      <c r="G6" s="17"/>
    </row>
    <row r="7" spans="1:10" ht="39.950000000000003" customHeight="1">
      <c r="A7" s="373" t="s">
        <v>203</v>
      </c>
      <c r="B7" s="374"/>
      <c r="C7" s="374"/>
      <c r="D7" s="374"/>
      <c r="E7" s="374"/>
      <c r="F7" s="374"/>
      <c r="G7" s="375"/>
    </row>
    <row r="8" spans="1:10" ht="39.950000000000003" customHeight="1">
      <c r="A8" s="376" t="s">
        <v>159</v>
      </c>
      <c r="B8" s="377"/>
      <c r="C8" s="377"/>
      <c r="D8" s="377"/>
      <c r="E8" s="377"/>
      <c r="F8" s="377"/>
      <c r="G8" s="378"/>
    </row>
    <row r="9" spans="1:10" ht="20.25">
      <c r="A9" s="58"/>
      <c r="B9" s="59"/>
      <c r="C9" s="23"/>
      <c r="D9" s="23"/>
      <c r="E9" s="23"/>
      <c r="F9" s="23"/>
      <c r="G9" s="22"/>
    </row>
    <row r="10" spans="1:10" ht="20.25">
      <c r="A10" s="21"/>
      <c r="B10" s="23"/>
      <c r="C10" s="23"/>
      <c r="D10" s="23"/>
      <c r="E10" s="23"/>
      <c r="F10" s="23"/>
      <c r="G10" s="22"/>
    </row>
    <row r="11" spans="1:10" ht="24.75" customHeight="1">
      <c r="A11" s="24" t="s">
        <v>45</v>
      </c>
      <c r="B11" s="379" t="s">
        <v>189</v>
      </c>
      <c r="C11" s="380"/>
      <c r="D11" s="380"/>
      <c r="E11" s="380"/>
      <c r="F11" s="380"/>
      <c r="G11" s="381"/>
    </row>
    <row r="12" spans="1:10" ht="24.75" customHeight="1">
      <c r="A12" s="24"/>
      <c r="B12" s="379"/>
      <c r="C12" s="380"/>
      <c r="D12" s="380"/>
      <c r="E12" s="380"/>
      <c r="F12" s="380"/>
      <c r="G12" s="381"/>
    </row>
    <row r="13" spans="1:10" ht="24.75" customHeight="1">
      <c r="A13" s="26"/>
      <c r="B13" s="60"/>
      <c r="C13" s="25"/>
      <c r="D13" s="25"/>
      <c r="E13" s="25"/>
      <c r="F13" s="25"/>
      <c r="G13" s="19"/>
    </row>
    <row r="14" spans="1:10" ht="24.75" customHeight="1">
      <c r="A14" s="61"/>
      <c r="B14" s="62"/>
      <c r="C14" s="25"/>
      <c r="D14" s="25"/>
      <c r="E14" s="25"/>
      <c r="F14" s="25"/>
      <c r="G14" s="19"/>
    </row>
    <row r="15" spans="1:10" s="10" customFormat="1" ht="39.950000000000003" customHeight="1">
      <c r="A15" s="370" t="s">
        <v>11</v>
      </c>
      <c r="B15" s="371"/>
      <c r="C15" s="371"/>
      <c r="D15" s="371"/>
      <c r="E15" s="371"/>
      <c r="F15" s="371"/>
      <c r="G15" s="372"/>
      <c r="H15" s="2"/>
      <c r="I15" s="2"/>
      <c r="J15" s="2"/>
    </row>
    <row r="16" spans="1:10" s="10" customFormat="1" ht="30" customHeight="1">
      <c r="A16" s="63"/>
      <c r="B16" s="64"/>
      <c r="C16" s="64"/>
      <c r="D16" s="64"/>
      <c r="E16" s="64"/>
      <c r="F16" s="64"/>
      <c r="G16" s="65"/>
      <c r="H16" s="2"/>
      <c r="I16" s="2"/>
      <c r="J16" s="2"/>
    </row>
    <row r="17" spans="1:7" ht="24.95" customHeight="1">
      <c r="A17" s="366" t="s">
        <v>16</v>
      </c>
      <c r="B17" s="367"/>
      <c r="C17" s="367"/>
      <c r="D17" s="368"/>
      <c r="E17" s="368"/>
      <c r="F17" s="368"/>
      <c r="G17" s="369"/>
    </row>
    <row r="18" spans="1:7" ht="24.95" customHeight="1">
      <c r="A18" s="366"/>
      <c r="B18" s="367"/>
      <c r="C18" s="367"/>
      <c r="D18" s="368"/>
      <c r="E18" s="368"/>
      <c r="F18" s="368"/>
      <c r="G18" s="369"/>
    </row>
    <row r="19" spans="1:7" ht="24.95" customHeight="1">
      <c r="A19" s="366" t="s">
        <v>17</v>
      </c>
      <c r="B19" s="367"/>
      <c r="C19" s="367"/>
      <c r="D19" s="368"/>
      <c r="E19" s="368"/>
      <c r="F19" s="368"/>
      <c r="G19" s="369"/>
    </row>
    <row r="20" spans="1:7" ht="24.95" customHeight="1">
      <c r="A20" s="366"/>
      <c r="B20" s="367"/>
      <c r="C20" s="367"/>
      <c r="D20" s="368"/>
      <c r="E20" s="368"/>
      <c r="F20" s="368"/>
      <c r="G20" s="369"/>
    </row>
    <row r="21" spans="1:7" ht="24.95" customHeight="1">
      <c r="A21" s="366" t="s">
        <v>47</v>
      </c>
      <c r="B21" s="367"/>
      <c r="C21" s="367"/>
      <c r="D21" s="368"/>
      <c r="E21" s="368"/>
      <c r="F21" s="368"/>
      <c r="G21" s="369"/>
    </row>
    <row r="22" spans="1:7" ht="24.95" customHeight="1">
      <c r="A22" s="366"/>
      <c r="B22" s="367"/>
      <c r="C22" s="367"/>
      <c r="D22" s="368"/>
      <c r="E22" s="368"/>
      <c r="F22" s="368"/>
      <c r="G22" s="369"/>
    </row>
    <row r="23" spans="1:7" ht="24.95" customHeight="1">
      <c r="A23" s="366" t="s">
        <v>125</v>
      </c>
      <c r="B23" s="367"/>
      <c r="C23" s="367"/>
      <c r="D23" s="368"/>
      <c r="E23" s="368"/>
      <c r="F23" s="368"/>
      <c r="G23" s="369"/>
    </row>
    <row r="24" spans="1:7" ht="24.95" customHeight="1">
      <c r="A24" s="366"/>
      <c r="B24" s="367"/>
      <c r="C24" s="367"/>
      <c r="D24" s="368"/>
      <c r="E24" s="368"/>
      <c r="F24" s="368"/>
      <c r="G24" s="369"/>
    </row>
    <row r="25" spans="1:7" ht="24.95" customHeight="1">
      <c r="A25" s="366" t="s">
        <v>75</v>
      </c>
      <c r="B25" s="367"/>
      <c r="C25" s="367"/>
      <c r="D25" s="368"/>
      <c r="E25" s="368"/>
      <c r="F25" s="368"/>
      <c r="G25" s="369"/>
    </row>
    <row r="26" spans="1:7" ht="24.95" customHeight="1">
      <c r="A26" s="366"/>
      <c r="B26" s="367"/>
      <c r="C26" s="367"/>
      <c r="D26" s="368"/>
      <c r="E26" s="368"/>
      <c r="F26" s="368"/>
      <c r="G26" s="369"/>
    </row>
    <row r="27" spans="1:7" ht="24.95" customHeight="1">
      <c r="A27" s="366"/>
      <c r="B27" s="367"/>
      <c r="C27" s="367"/>
      <c r="D27" s="367"/>
      <c r="E27" s="367"/>
      <c r="F27" s="367"/>
      <c r="G27" s="382"/>
    </row>
    <row r="28" spans="1:7" ht="24.95" customHeight="1">
      <c r="A28" s="366"/>
      <c r="B28" s="367"/>
      <c r="C28" s="367"/>
      <c r="D28" s="367"/>
      <c r="E28" s="367"/>
      <c r="F28" s="367"/>
      <c r="G28" s="382"/>
    </row>
    <row r="29" spans="1:7" ht="24.95" customHeight="1">
      <c r="A29" s="55"/>
      <c r="B29" s="56"/>
      <c r="C29" s="56"/>
      <c r="D29" s="27"/>
      <c r="E29" s="27"/>
      <c r="F29" s="27"/>
      <c r="G29" s="28"/>
    </row>
    <row r="30" spans="1:7" ht="24.95" customHeight="1">
      <c r="A30" s="55"/>
      <c r="B30" s="56"/>
      <c r="C30" s="56"/>
      <c r="D30" s="27"/>
      <c r="E30" s="27"/>
      <c r="F30" s="27"/>
      <c r="G30" s="28"/>
    </row>
    <row r="31" spans="1:7" ht="24.95" customHeight="1">
      <c r="A31" s="55"/>
      <c r="B31" s="56"/>
      <c r="C31" s="56"/>
      <c r="D31" s="27"/>
      <c r="E31" s="27"/>
      <c r="F31" s="27"/>
      <c r="G31" s="28"/>
    </row>
    <row r="32" spans="1:7" ht="24.95" customHeight="1">
      <c r="A32" s="55"/>
      <c r="B32" s="56"/>
      <c r="C32" s="56"/>
      <c r="D32" s="27"/>
      <c r="E32" s="27"/>
      <c r="F32" s="27"/>
      <c r="G32" s="28"/>
    </row>
    <row r="33" spans="1:7" ht="24.95" customHeight="1">
      <c r="A33" s="55"/>
      <c r="B33" s="56"/>
      <c r="C33" s="56"/>
      <c r="D33" s="27"/>
      <c r="E33" s="27"/>
      <c r="F33" s="27"/>
      <c r="G33" s="28"/>
    </row>
    <row r="34" spans="1:7" ht="24.95" customHeight="1">
      <c r="A34" s="29"/>
      <c r="B34" s="27"/>
      <c r="C34" s="27"/>
      <c r="D34" s="27"/>
      <c r="E34" s="27"/>
      <c r="F34" s="27"/>
      <c r="G34" s="28"/>
    </row>
    <row r="35" spans="1:7" ht="24.95" customHeight="1">
      <c r="A35" s="68"/>
      <c r="B35" s="69"/>
      <c r="C35" s="69"/>
      <c r="D35" s="69"/>
      <c r="E35" s="69"/>
      <c r="F35" s="69"/>
      <c r="G35" s="70"/>
    </row>
    <row r="36" spans="1:7" ht="24.95" customHeight="1">
      <c r="A36" s="67"/>
      <c r="B36" s="67"/>
      <c r="C36" s="67"/>
      <c r="D36" s="67"/>
      <c r="E36" s="67"/>
      <c r="F36" s="67"/>
      <c r="G36" s="67"/>
    </row>
    <row r="37" spans="1:7" ht="24.95" customHeight="1">
      <c r="A37" s="67"/>
      <c r="B37" s="67"/>
      <c r="C37" s="67"/>
      <c r="D37" s="67"/>
      <c r="E37" s="67"/>
      <c r="F37" s="67"/>
      <c r="G37" s="67"/>
    </row>
    <row r="38" spans="1:7" ht="24.95" customHeight="1">
      <c r="A38" s="9"/>
      <c r="B38" s="9"/>
      <c r="C38" s="9"/>
      <c r="D38" s="9"/>
      <c r="E38" s="6"/>
      <c r="F38" s="6"/>
      <c r="G38" s="6"/>
    </row>
    <row r="39" spans="1:7" ht="24.95" customHeight="1">
      <c r="A39" s="9"/>
      <c r="B39" s="9"/>
      <c r="C39" s="9"/>
      <c r="D39" s="9"/>
      <c r="E39" s="6"/>
      <c r="F39" s="6"/>
      <c r="G39" s="6"/>
    </row>
  </sheetData>
  <mergeCells count="11">
    <mergeCell ref="A27:G28"/>
    <mergeCell ref="A25:G26"/>
    <mergeCell ref="A15:G15"/>
    <mergeCell ref="A23:G24"/>
    <mergeCell ref="A7:G7"/>
    <mergeCell ref="A8:G8"/>
    <mergeCell ref="B11:G11"/>
    <mergeCell ref="B12:G12"/>
    <mergeCell ref="A17:G18"/>
    <mergeCell ref="A19:G20"/>
    <mergeCell ref="A21:G22"/>
  </mergeCells>
  <phoneticPr fontId="0" type="noConversion"/>
  <pageMargins left="0.78740157480314965" right="0.78740157480314965" top="0.98425196850393704" bottom="0.98425196850393704" header="0.51181102362204722" footer="0.51181102362204722"/>
  <pageSetup paperSize="9" scale="74" orientation="portrait" r:id="rId1"/>
  <headerFooter alignWithMargins="0">
    <oddHeader xml:space="preserve">&amp;LWirtschaftsplan für Eigenbetriebe und Museumsstiftungen
&amp;RBlatt 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Layout" zoomScale="60" zoomScaleNormal="75" zoomScalePageLayoutView="60" workbookViewId="0">
      <selection activeCell="H26" sqref="H26"/>
    </sheetView>
  </sheetViews>
  <sheetFormatPr baseColWidth="10" defaultColWidth="7.85546875" defaultRowHeight="12.75"/>
  <cols>
    <col min="1" max="1" width="6.140625" style="15" customWidth="1"/>
    <col min="2" max="2" width="30.5703125" style="15" customWidth="1"/>
    <col min="3" max="13" width="10.7109375" style="15" customWidth="1"/>
    <col min="14" max="14" width="9.5703125" style="12" customWidth="1"/>
    <col min="15" max="15" width="3" style="226" customWidth="1"/>
    <col min="16" max="16384" width="7.85546875" style="15"/>
  </cols>
  <sheetData>
    <row r="1" spans="1:15" customFormat="1" ht="18">
      <c r="B1" s="16"/>
      <c r="C1" s="219"/>
      <c r="D1" s="246"/>
      <c r="E1" s="247"/>
      <c r="F1" s="219"/>
    </row>
    <row r="2" spans="1:15" customFormat="1" ht="18">
      <c r="B2" s="16"/>
      <c r="C2" s="219"/>
      <c r="D2" s="246"/>
      <c r="E2" s="247"/>
      <c r="F2" s="219"/>
    </row>
    <row r="3" spans="1:15" customFormat="1" ht="15.75" customHeight="1">
      <c r="B3" s="16"/>
      <c r="L3" s="5"/>
      <c r="M3" s="5"/>
    </row>
    <row r="4" spans="1:15" customFormat="1" ht="18">
      <c r="A4" s="407" t="s">
        <v>16</v>
      </c>
      <c r="B4" s="408"/>
      <c r="C4" s="408"/>
      <c r="D4" s="408"/>
      <c r="E4" s="408"/>
      <c r="F4" s="408"/>
      <c r="G4" s="408"/>
      <c r="H4" s="408"/>
      <c r="I4" s="408"/>
      <c r="J4" s="408"/>
      <c r="K4" s="408"/>
      <c r="L4" s="408"/>
      <c r="M4" s="409"/>
    </row>
    <row r="5" spans="1:15" ht="18.75" customHeight="1">
      <c r="A5" s="410" t="s">
        <v>138</v>
      </c>
      <c r="B5" s="411"/>
      <c r="C5" s="385" t="s">
        <v>159</v>
      </c>
      <c r="D5" s="385"/>
      <c r="E5" s="385"/>
      <c r="F5" s="386"/>
      <c r="G5" s="386"/>
      <c r="H5" s="386"/>
      <c r="I5" s="386"/>
      <c r="J5" s="386"/>
      <c r="K5" s="386"/>
      <c r="L5" s="386"/>
      <c r="M5" s="387"/>
      <c r="N5" s="222"/>
      <c r="O5" s="34"/>
    </row>
    <row r="6" spans="1:15" ht="15.75" customHeight="1">
      <c r="A6" s="410" t="s">
        <v>19</v>
      </c>
      <c r="B6" s="411"/>
      <c r="C6" s="32"/>
      <c r="D6" s="32"/>
      <c r="E6" s="32"/>
      <c r="F6" s="32"/>
      <c r="G6" s="388" t="s">
        <v>186</v>
      </c>
      <c r="H6" s="389"/>
      <c r="I6" s="389"/>
      <c r="J6" s="389"/>
      <c r="K6" s="389"/>
      <c r="L6" s="389"/>
      <c r="M6" s="390"/>
      <c r="N6" s="35"/>
      <c r="O6" s="35"/>
    </row>
    <row r="7" spans="1:15" ht="15.75" customHeight="1">
      <c r="A7" s="412"/>
      <c r="B7" s="413"/>
      <c r="C7" s="365"/>
      <c r="D7" s="365"/>
      <c r="E7" s="365"/>
      <c r="F7" s="32"/>
      <c r="G7" s="399" t="s">
        <v>143</v>
      </c>
      <c r="H7" s="400"/>
      <c r="I7" s="400"/>
      <c r="J7" s="400"/>
      <c r="K7" s="401"/>
      <c r="L7" s="399" t="s">
        <v>142</v>
      </c>
      <c r="M7" s="401"/>
      <c r="N7" s="35"/>
      <c r="O7" s="35"/>
    </row>
    <row r="8" spans="1:15" ht="17.25" customHeight="1">
      <c r="A8" s="402" t="s">
        <v>28</v>
      </c>
      <c r="B8" s="403"/>
      <c r="C8" s="391" t="s">
        <v>172</v>
      </c>
      <c r="D8" s="394" t="s">
        <v>190</v>
      </c>
      <c r="E8" s="391" t="s">
        <v>184</v>
      </c>
      <c r="F8" s="394" t="s">
        <v>173</v>
      </c>
      <c r="G8" s="391" t="s">
        <v>201</v>
      </c>
      <c r="H8" s="391" t="s">
        <v>185</v>
      </c>
      <c r="I8" s="391" t="s">
        <v>174</v>
      </c>
      <c r="J8" s="394" t="s">
        <v>175</v>
      </c>
      <c r="K8" s="391" t="s">
        <v>176</v>
      </c>
      <c r="L8" s="394" t="s">
        <v>178</v>
      </c>
      <c r="M8" s="391" t="s">
        <v>177</v>
      </c>
      <c r="N8" s="223"/>
      <c r="O8" s="224"/>
    </row>
    <row r="9" spans="1:15" ht="17.25" customHeight="1">
      <c r="A9" s="404"/>
      <c r="B9" s="405"/>
      <c r="C9" s="392"/>
      <c r="D9" s="395"/>
      <c r="E9" s="392"/>
      <c r="F9" s="395"/>
      <c r="G9" s="392"/>
      <c r="H9" s="392"/>
      <c r="I9" s="392"/>
      <c r="J9" s="398"/>
      <c r="K9" s="396"/>
      <c r="L9" s="398"/>
      <c r="M9" s="396"/>
      <c r="N9" s="223"/>
      <c r="O9" s="224"/>
    </row>
    <row r="10" spans="1:15" ht="22.5" customHeight="1">
      <c r="A10" s="404"/>
      <c r="B10" s="406"/>
      <c r="C10" s="393"/>
      <c r="D10" s="395"/>
      <c r="E10" s="393"/>
      <c r="F10" s="395"/>
      <c r="G10" s="393"/>
      <c r="H10" s="392"/>
      <c r="I10" s="392"/>
      <c r="J10" s="398"/>
      <c r="K10" s="397"/>
      <c r="L10" s="398"/>
      <c r="M10" s="397"/>
      <c r="N10" s="225"/>
      <c r="O10" s="224"/>
    </row>
    <row r="11" spans="1:15" ht="18" customHeight="1">
      <c r="A11" s="229" t="s">
        <v>50</v>
      </c>
      <c r="B11" s="383" t="s">
        <v>139</v>
      </c>
      <c r="C11" s="384"/>
      <c r="D11" s="384"/>
      <c r="E11" s="384"/>
      <c r="F11" s="384"/>
      <c r="G11" s="384"/>
      <c r="H11" s="384"/>
      <c r="I11" s="384"/>
      <c r="J11" s="384"/>
      <c r="K11" s="384"/>
      <c r="L11" s="384"/>
      <c r="M11" s="384"/>
      <c r="N11" s="14"/>
      <c r="O11" s="14"/>
    </row>
    <row r="12" spans="1:15" ht="18" customHeight="1">
      <c r="A12" s="230">
        <v>1</v>
      </c>
      <c r="B12" s="280" t="s">
        <v>10</v>
      </c>
      <c r="C12" s="280">
        <v>17919</v>
      </c>
      <c r="D12" s="280">
        <v>18648</v>
      </c>
      <c r="E12" s="280">
        <v>20510</v>
      </c>
      <c r="F12" s="280">
        <v>19582</v>
      </c>
      <c r="G12" s="359">
        <f>J12/12*11.5*25%</f>
        <v>5548.510416666667</v>
      </c>
      <c r="H12" s="359">
        <f>J12/12*11.5*50%</f>
        <v>11097.020833333334</v>
      </c>
      <c r="I12" s="360">
        <f>J12/12*11.5*75%</f>
        <v>16645.53125</v>
      </c>
      <c r="J12" s="284">
        <v>23159</v>
      </c>
      <c r="K12" s="284">
        <v>23588</v>
      </c>
      <c r="L12" s="284">
        <v>23875</v>
      </c>
      <c r="M12" s="284">
        <v>24166</v>
      </c>
      <c r="N12" s="13"/>
      <c r="O12" s="36"/>
    </row>
    <row r="13" spans="1:15" ht="29.25" customHeight="1">
      <c r="A13" s="230" t="s">
        <v>146</v>
      </c>
      <c r="B13" s="355" t="s">
        <v>193</v>
      </c>
      <c r="C13" s="281">
        <v>16680</v>
      </c>
      <c r="D13" s="281">
        <v>17246</v>
      </c>
      <c r="E13" s="281">
        <v>18299</v>
      </c>
      <c r="F13" s="281">
        <v>17885</v>
      </c>
      <c r="G13" s="296">
        <f>J13/12*11.5*25%</f>
        <v>4931.104166666667</v>
      </c>
      <c r="H13" s="296">
        <f>J13/12*11.5*50%</f>
        <v>9862.2083333333339</v>
      </c>
      <c r="I13" s="297">
        <f>J13/12*11.5*75%</f>
        <v>14793.3125</v>
      </c>
      <c r="J13" s="286">
        <v>20582</v>
      </c>
      <c r="K13" s="286">
        <v>20799</v>
      </c>
      <c r="L13" s="286">
        <v>20965</v>
      </c>
      <c r="M13" s="286">
        <v>21134</v>
      </c>
      <c r="N13" s="13"/>
      <c r="O13" s="36"/>
    </row>
    <row r="14" spans="1:15" ht="18" customHeight="1">
      <c r="A14" s="230" t="s">
        <v>147</v>
      </c>
      <c r="B14" s="356" t="s">
        <v>194</v>
      </c>
      <c r="C14" s="281"/>
      <c r="D14" s="281"/>
      <c r="E14" s="281"/>
      <c r="F14" s="281"/>
      <c r="G14" s="285"/>
      <c r="H14" s="285"/>
      <c r="I14" s="286"/>
      <c r="J14" s="286"/>
      <c r="K14" s="286"/>
      <c r="L14" s="286"/>
      <c r="M14" s="286"/>
      <c r="N14" s="13"/>
      <c r="O14" s="36"/>
    </row>
    <row r="15" spans="1:15">
      <c r="A15" s="230" t="s">
        <v>198</v>
      </c>
      <c r="B15" s="357" t="s">
        <v>195</v>
      </c>
      <c r="C15" s="281"/>
      <c r="D15" s="281"/>
      <c r="E15" s="281"/>
      <c r="F15" s="281"/>
      <c r="G15" s="285"/>
      <c r="H15" s="285"/>
      <c r="I15" s="286"/>
      <c r="J15" s="286"/>
      <c r="K15" s="286"/>
      <c r="L15" s="286"/>
      <c r="M15" s="286"/>
      <c r="N15" s="13"/>
      <c r="O15" s="36"/>
    </row>
    <row r="16" spans="1:15">
      <c r="A16" s="230" t="s">
        <v>200</v>
      </c>
      <c r="B16" s="357" t="s">
        <v>196</v>
      </c>
      <c r="C16" s="281"/>
      <c r="D16" s="281"/>
      <c r="E16" s="281"/>
      <c r="F16" s="281"/>
      <c r="G16" s="285"/>
      <c r="H16" s="285"/>
      <c r="I16" s="286"/>
      <c r="J16" s="286"/>
      <c r="K16" s="286"/>
      <c r="L16" s="286"/>
      <c r="M16" s="286"/>
      <c r="N16" s="13"/>
      <c r="O16" s="36"/>
    </row>
    <row r="17" spans="1:15" ht="18" customHeight="1">
      <c r="A17" s="230" t="s">
        <v>199</v>
      </c>
      <c r="B17" s="358" t="s">
        <v>197</v>
      </c>
      <c r="C17" s="281"/>
      <c r="D17" s="281"/>
      <c r="E17" s="281"/>
      <c r="F17" s="281"/>
      <c r="G17" s="285"/>
      <c r="H17" s="285"/>
      <c r="I17" s="286"/>
      <c r="J17" s="286"/>
      <c r="K17" s="286"/>
      <c r="L17" s="286"/>
      <c r="M17" s="286"/>
      <c r="N17" s="13"/>
      <c r="O17" s="36"/>
    </row>
    <row r="18" spans="1:15" ht="18" customHeight="1">
      <c r="A18" s="230">
        <v>2</v>
      </c>
      <c r="B18" s="281" t="s">
        <v>20</v>
      </c>
      <c r="C18" s="281"/>
      <c r="D18" s="281"/>
      <c r="E18" s="281"/>
      <c r="F18" s="281"/>
      <c r="G18" s="285"/>
      <c r="H18" s="285"/>
      <c r="I18" s="286"/>
      <c r="J18" s="286"/>
      <c r="K18" s="286"/>
      <c r="L18" s="286"/>
      <c r="M18" s="286"/>
      <c r="N18" s="13"/>
      <c r="O18" s="36"/>
    </row>
    <row r="19" spans="1:15" ht="18" customHeight="1">
      <c r="A19" s="230">
        <v>3</v>
      </c>
      <c r="B19" s="281" t="s">
        <v>21</v>
      </c>
      <c r="C19" s="281"/>
      <c r="D19" s="281"/>
      <c r="E19" s="281"/>
      <c r="F19" s="281"/>
      <c r="G19" s="285"/>
      <c r="H19" s="285"/>
      <c r="I19" s="286"/>
      <c r="J19" s="286"/>
      <c r="K19" s="286"/>
      <c r="L19" s="286"/>
      <c r="M19" s="286"/>
      <c r="N19" s="13"/>
      <c r="O19" s="36"/>
    </row>
    <row r="20" spans="1:15" ht="18" customHeight="1">
      <c r="A20" s="230">
        <v>4</v>
      </c>
      <c r="B20" s="281" t="s">
        <v>48</v>
      </c>
      <c r="C20" s="281">
        <v>5304</v>
      </c>
      <c r="D20" s="281">
        <v>5237</v>
      </c>
      <c r="E20" s="281">
        <v>6851</v>
      </c>
      <c r="F20" s="281">
        <v>5436</v>
      </c>
      <c r="G20" s="296">
        <f>J20/12*11.5*25%</f>
        <v>1278.4166666666667</v>
      </c>
      <c r="H20" s="296">
        <f>J20/12*11.5*50%</f>
        <v>2556.8333333333335</v>
      </c>
      <c r="I20" s="297">
        <f>J20/12*11.5*75%</f>
        <v>3835.25</v>
      </c>
      <c r="J20" s="286">
        <v>5336</v>
      </c>
      <c r="K20" s="286">
        <v>5480</v>
      </c>
      <c r="L20" s="286">
        <v>5630</v>
      </c>
      <c r="M20" s="286">
        <v>5783</v>
      </c>
      <c r="N20" s="13"/>
      <c r="O20" s="36"/>
    </row>
    <row r="21" spans="1:15" ht="18" customHeight="1">
      <c r="A21" s="230" t="s">
        <v>148</v>
      </c>
      <c r="B21" s="281" t="s">
        <v>49</v>
      </c>
      <c r="C21" s="281">
        <v>818</v>
      </c>
      <c r="D21" s="281">
        <v>609</v>
      </c>
      <c r="E21" s="281">
        <v>564</v>
      </c>
      <c r="F21" s="281">
        <v>564</v>
      </c>
      <c r="G21" s="285">
        <f>J21/12*11.5*25%</f>
        <v>137.04166666666666</v>
      </c>
      <c r="H21" s="285">
        <f>J21/12*11.5*50%</f>
        <v>274.08333333333331</v>
      </c>
      <c r="I21" s="286">
        <f>J21/12*11.5*75%</f>
        <v>411.125</v>
      </c>
      <c r="J21" s="286">
        <v>572</v>
      </c>
      <c r="K21" s="286">
        <v>581</v>
      </c>
      <c r="L21" s="286">
        <v>590</v>
      </c>
      <c r="M21" s="286">
        <v>599</v>
      </c>
      <c r="N21" s="13"/>
      <c r="O21" s="36"/>
    </row>
    <row r="22" spans="1:15" s="33" customFormat="1" ht="18" customHeight="1">
      <c r="A22" s="230">
        <v>5</v>
      </c>
      <c r="B22" s="283" t="s">
        <v>76</v>
      </c>
      <c r="C22" s="283">
        <f t="shared" ref="C22:M22" si="0">C12+C18+C19+C20</f>
        <v>23223</v>
      </c>
      <c r="D22" s="283">
        <f>D12+D18+D19+D20</f>
        <v>23885</v>
      </c>
      <c r="E22" s="283">
        <f>E12+E18+E19+E20</f>
        <v>27361</v>
      </c>
      <c r="F22" s="283">
        <f t="shared" si="0"/>
        <v>25018</v>
      </c>
      <c r="G22" s="287">
        <f t="shared" si="0"/>
        <v>6826.9270833333339</v>
      </c>
      <c r="H22" s="287">
        <f>H12+H18+H19+H20</f>
        <v>13653.854166666668</v>
      </c>
      <c r="I22" s="288">
        <f>I12+I20</f>
        <v>20480.78125</v>
      </c>
      <c r="J22" s="288">
        <f>J12+J20</f>
        <v>28495</v>
      </c>
      <c r="K22" s="288">
        <f t="shared" si="0"/>
        <v>29068</v>
      </c>
      <c r="L22" s="288">
        <f t="shared" si="0"/>
        <v>29505</v>
      </c>
      <c r="M22" s="288">
        <f t="shared" si="0"/>
        <v>29949</v>
      </c>
      <c r="N22" s="37"/>
      <c r="O22" s="37"/>
    </row>
    <row r="23" spans="1:15" ht="18" customHeight="1">
      <c r="A23" s="230">
        <v>6</v>
      </c>
      <c r="B23" s="281" t="s">
        <v>22</v>
      </c>
      <c r="C23" s="282"/>
      <c r="D23" s="281"/>
      <c r="E23" s="281"/>
      <c r="F23" s="281"/>
      <c r="G23" s="285"/>
      <c r="H23" s="285"/>
      <c r="I23" s="286"/>
      <c r="J23" s="286"/>
      <c r="K23" s="286"/>
      <c r="L23" s="286"/>
      <c r="M23" s="286"/>
      <c r="N23" s="13"/>
      <c r="O23" s="36"/>
    </row>
    <row r="24" spans="1:15" ht="18" customHeight="1">
      <c r="A24" s="230">
        <v>7</v>
      </c>
      <c r="B24" s="281" t="s">
        <v>14</v>
      </c>
      <c r="C24" s="282">
        <f>6510+32</f>
        <v>6542</v>
      </c>
      <c r="D24" s="282">
        <v>6683</v>
      </c>
      <c r="E24" s="282">
        <v>7234</v>
      </c>
      <c r="F24" s="282">
        <v>7082</v>
      </c>
      <c r="G24" s="285">
        <f>J24*25%</f>
        <v>1848.25</v>
      </c>
      <c r="H24" s="285">
        <f>J24*50%</f>
        <v>3696.5</v>
      </c>
      <c r="I24" s="286">
        <f>J24*75%</f>
        <v>5544.75</v>
      </c>
      <c r="J24" s="286">
        <v>7393</v>
      </c>
      <c r="K24" s="286">
        <v>7545</v>
      </c>
      <c r="L24" s="286">
        <v>7723</v>
      </c>
      <c r="M24" s="286">
        <v>7905</v>
      </c>
      <c r="N24" s="13"/>
      <c r="O24" s="36"/>
    </row>
    <row r="25" spans="1:15" ht="18" customHeight="1">
      <c r="A25" s="230">
        <v>8</v>
      </c>
      <c r="B25" s="281" t="s">
        <v>0</v>
      </c>
      <c r="C25" s="301">
        <f>10298+3493</f>
        <v>13791</v>
      </c>
      <c r="D25" s="281">
        <v>14207</v>
      </c>
      <c r="E25" s="281">
        <v>17331</v>
      </c>
      <c r="F25" s="281">
        <v>15495</v>
      </c>
      <c r="G25" s="285">
        <f>J25/12.8*12*25%</f>
        <v>4205.625</v>
      </c>
      <c r="H25" s="285">
        <f>J25/12.8*12*50%</f>
        <v>8411.25</v>
      </c>
      <c r="I25" s="286">
        <f>J25/12.8*12*75%</f>
        <v>12616.875</v>
      </c>
      <c r="J25" s="286">
        <v>17944</v>
      </c>
      <c r="K25" s="286">
        <v>18310</v>
      </c>
      <c r="L25" s="286">
        <v>18521</v>
      </c>
      <c r="M25" s="286">
        <v>18734</v>
      </c>
      <c r="N25" s="13"/>
      <c r="O25" s="36"/>
    </row>
    <row r="26" spans="1:15" ht="18" customHeight="1">
      <c r="A26" s="230">
        <v>9</v>
      </c>
      <c r="B26" s="281" t="s">
        <v>77</v>
      </c>
      <c r="C26" s="302">
        <v>387</v>
      </c>
      <c r="D26" s="281">
        <v>334</v>
      </c>
      <c r="E26" s="281">
        <v>400</v>
      </c>
      <c r="F26" s="281">
        <v>306</v>
      </c>
      <c r="G26" s="285">
        <f>J26*25%</f>
        <v>115.25</v>
      </c>
      <c r="H26" s="285">
        <f>J26*50%</f>
        <v>230.5</v>
      </c>
      <c r="I26" s="286">
        <f>J26*75%</f>
        <v>345.75</v>
      </c>
      <c r="J26" s="286">
        <v>461</v>
      </c>
      <c r="K26" s="286">
        <v>475</v>
      </c>
      <c r="L26" s="286">
        <v>485</v>
      </c>
      <c r="M26" s="286">
        <v>494</v>
      </c>
      <c r="N26" s="13"/>
      <c r="O26" s="36"/>
    </row>
    <row r="27" spans="1:15" ht="18" customHeight="1">
      <c r="A27" s="230">
        <v>10</v>
      </c>
      <c r="B27" s="281" t="s">
        <v>23</v>
      </c>
      <c r="C27" s="302">
        <v>2276</v>
      </c>
      <c r="D27" s="281">
        <v>2652</v>
      </c>
      <c r="E27" s="281">
        <v>2473</v>
      </c>
      <c r="F27" s="281">
        <v>2001</v>
      </c>
      <c r="G27" s="285">
        <f>J27*25%</f>
        <v>636.75</v>
      </c>
      <c r="H27" s="285">
        <f>J27*50%</f>
        <v>1273.5</v>
      </c>
      <c r="I27" s="286">
        <f>J27*75%</f>
        <v>1910.25</v>
      </c>
      <c r="J27" s="286">
        <f>2531+16</f>
        <v>2547</v>
      </c>
      <c r="K27" s="286">
        <f>2562+16</f>
        <v>2578</v>
      </c>
      <c r="L27" s="286">
        <f>2600+16</f>
        <v>2616</v>
      </c>
      <c r="M27" s="286">
        <v>2656</v>
      </c>
      <c r="N27" s="13"/>
      <c r="O27" s="36"/>
    </row>
    <row r="28" spans="1:15" s="33" customFormat="1" ht="18" customHeight="1">
      <c r="A28" s="230">
        <v>11</v>
      </c>
      <c r="B28" s="283" t="s">
        <v>24</v>
      </c>
      <c r="C28" s="283">
        <f>C24+C25+C26+C27</f>
        <v>22996</v>
      </c>
      <c r="D28" s="283">
        <f>SUM(D23:D27)</f>
        <v>23876</v>
      </c>
      <c r="E28" s="283">
        <f>SUM(E23:E27)</f>
        <v>27438</v>
      </c>
      <c r="F28" s="283">
        <f t="shared" ref="F28:M28" si="1">SUM(F23:F27)</f>
        <v>24884</v>
      </c>
      <c r="G28" s="287">
        <f t="shared" si="1"/>
        <v>6805.875</v>
      </c>
      <c r="H28" s="287">
        <f t="shared" si="1"/>
        <v>13611.75</v>
      </c>
      <c r="I28" s="288">
        <f>SUM(I23:I27)</f>
        <v>20417.625</v>
      </c>
      <c r="J28" s="288">
        <f t="shared" si="1"/>
        <v>28345</v>
      </c>
      <c r="K28" s="288">
        <f t="shared" si="1"/>
        <v>28908</v>
      </c>
      <c r="L28" s="288">
        <f t="shared" si="1"/>
        <v>29345</v>
      </c>
      <c r="M28" s="288">
        <f t="shared" si="1"/>
        <v>29789</v>
      </c>
      <c r="N28" s="37"/>
      <c r="O28" s="37"/>
    </row>
    <row r="29" spans="1:15" s="33" customFormat="1" ht="18" customHeight="1">
      <c r="A29" s="230">
        <v>12</v>
      </c>
      <c r="B29" s="289" t="s">
        <v>1</v>
      </c>
      <c r="C29" s="289">
        <f>C22-C28</f>
        <v>227</v>
      </c>
      <c r="D29" s="289">
        <f t="shared" ref="D29:M29" si="2">D22-D28</f>
        <v>9</v>
      </c>
      <c r="E29" s="289">
        <f t="shared" si="2"/>
        <v>-77</v>
      </c>
      <c r="F29" s="289">
        <f>F22-F28</f>
        <v>134</v>
      </c>
      <c r="G29" s="289">
        <f t="shared" si="2"/>
        <v>21.05208333333394</v>
      </c>
      <c r="H29" s="289">
        <f t="shared" si="2"/>
        <v>42.104166666667879</v>
      </c>
      <c r="I29" s="289">
        <f>I22-I28</f>
        <v>63.15625</v>
      </c>
      <c r="J29" s="289">
        <f t="shared" si="2"/>
        <v>150</v>
      </c>
      <c r="K29" s="289">
        <f t="shared" si="2"/>
        <v>160</v>
      </c>
      <c r="L29" s="289">
        <f t="shared" si="2"/>
        <v>160</v>
      </c>
      <c r="M29" s="290">
        <f t="shared" si="2"/>
        <v>160</v>
      </c>
      <c r="N29" s="37"/>
      <c r="O29" s="37"/>
    </row>
    <row r="30" spans="1:15" ht="18" customHeight="1">
      <c r="A30" s="230">
        <v>13</v>
      </c>
      <c r="B30" s="281" t="s">
        <v>5</v>
      </c>
      <c r="C30" s="281"/>
      <c r="D30" s="281"/>
      <c r="E30" s="281"/>
      <c r="F30" s="281"/>
      <c r="G30" s="285"/>
      <c r="H30" s="285"/>
      <c r="I30" s="286"/>
      <c r="J30" s="286"/>
      <c r="K30" s="286"/>
      <c r="L30" s="286"/>
      <c r="M30" s="286"/>
      <c r="N30" s="13"/>
      <c r="O30" s="36"/>
    </row>
    <row r="31" spans="1:15" ht="18" customHeight="1">
      <c r="A31" s="230">
        <v>14</v>
      </c>
      <c r="B31" s="281" t="s">
        <v>3</v>
      </c>
      <c r="C31" s="281">
        <v>4</v>
      </c>
      <c r="D31" s="281"/>
      <c r="E31" s="281"/>
      <c r="F31" s="281">
        <v>4</v>
      </c>
      <c r="G31" s="281"/>
      <c r="H31" s="281"/>
      <c r="I31" s="281"/>
      <c r="J31" s="281"/>
      <c r="K31" s="281"/>
      <c r="L31" s="281"/>
      <c r="M31" s="349"/>
      <c r="N31" s="13"/>
      <c r="O31" s="36"/>
    </row>
    <row r="32" spans="1:15" ht="18" customHeight="1">
      <c r="A32" s="230">
        <v>15</v>
      </c>
      <c r="B32" s="281" t="s">
        <v>2</v>
      </c>
      <c r="C32" s="281">
        <v>147</v>
      </c>
      <c r="D32" s="281">
        <v>135</v>
      </c>
      <c r="E32" s="281">
        <v>138</v>
      </c>
      <c r="F32" s="281">
        <v>138</v>
      </c>
      <c r="G32" s="295">
        <v>0</v>
      </c>
      <c r="H32" s="295">
        <v>0</v>
      </c>
      <c r="I32" s="295">
        <v>0</v>
      </c>
      <c r="J32" s="281">
        <v>138</v>
      </c>
      <c r="K32" s="281">
        <v>138</v>
      </c>
      <c r="L32" s="281">
        <v>138</v>
      </c>
      <c r="M32" s="349">
        <v>138</v>
      </c>
      <c r="N32" s="13"/>
      <c r="O32" s="36"/>
    </row>
    <row r="33" spans="1:15" s="33" customFormat="1" ht="18" customHeight="1">
      <c r="A33" s="230">
        <v>16</v>
      </c>
      <c r="B33" s="292" t="s">
        <v>6</v>
      </c>
      <c r="C33" s="292">
        <f>SUM(C31-C32)</f>
        <v>-143</v>
      </c>
      <c r="D33" s="292">
        <f>SUM(D31-D32)</f>
        <v>-135</v>
      </c>
      <c r="E33" s="292">
        <f>SUM(E31-E32)</f>
        <v>-138</v>
      </c>
      <c r="F33" s="292">
        <f>SUM(F31-F32)</f>
        <v>-134</v>
      </c>
      <c r="G33" s="293">
        <f>SUM(G31-G32)</f>
        <v>0</v>
      </c>
      <c r="H33" s="293">
        <f>-SUM(H30:H32)</f>
        <v>0</v>
      </c>
      <c r="I33" s="294">
        <f>-I32</f>
        <v>0</v>
      </c>
      <c r="J33" s="294">
        <f>-J32</f>
        <v>-138</v>
      </c>
      <c r="K33" s="294">
        <f>SUM(K31-K32)</f>
        <v>-138</v>
      </c>
      <c r="L33" s="294">
        <f>SUM(L31-L32)</f>
        <v>-138</v>
      </c>
      <c r="M33" s="294">
        <f>SUM(M31-M32)</f>
        <v>-138</v>
      </c>
      <c r="N33" s="37"/>
      <c r="O33" s="37"/>
    </row>
    <row r="34" spans="1:15" s="33" customFormat="1" ht="24.75" customHeight="1">
      <c r="A34" s="230">
        <v>17</v>
      </c>
      <c r="B34" s="289" t="s">
        <v>25</v>
      </c>
      <c r="C34" s="289">
        <f>C29+C33</f>
        <v>84</v>
      </c>
      <c r="D34" s="289">
        <f t="shared" ref="D34:M34" si="3">D29+D33</f>
        <v>-126</v>
      </c>
      <c r="E34" s="289">
        <f t="shared" si="3"/>
        <v>-215</v>
      </c>
      <c r="F34" s="289">
        <f t="shared" si="3"/>
        <v>0</v>
      </c>
      <c r="G34" s="290">
        <f>G29+G33</f>
        <v>21.05208333333394</v>
      </c>
      <c r="H34" s="290">
        <f t="shared" si="3"/>
        <v>42.104166666667879</v>
      </c>
      <c r="I34" s="291">
        <f>I29+I33</f>
        <v>63.15625</v>
      </c>
      <c r="J34" s="291">
        <f>J29+J33</f>
        <v>12</v>
      </c>
      <c r="K34" s="291">
        <f t="shared" si="3"/>
        <v>22</v>
      </c>
      <c r="L34" s="291">
        <f t="shared" si="3"/>
        <v>22</v>
      </c>
      <c r="M34" s="291">
        <f t="shared" si="3"/>
        <v>22</v>
      </c>
      <c r="N34" s="37"/>
      <c r="O34" s="37"/>
    </row>
    <row r="35" spans="1:15" ht="18" customHeight="1">
      <c r="A35" s="230">
        <v>18</v>
      </c>
      <c r="B35" s="295" t="s">
        <v>78</v>
      </c>
      <c r="C35" s="295"/>
      <c r="D35" s="295"/>
      <c r="E35" s="295"/>
      <c r="F35" s="295"/>
      <c r="G35" s="296"/>
      <c r="H35" s="296"/>
      <c r="I35" s="297"/>
      <c r="J35" s="297"/>
      <c r="K35" s="297"/>
      <c r="L35" s="297"/>
      <c r="M35" s="297"/>
      <c r="N35" s="38"/>
      <c r="O35" s="39"/>
    </row>
    <row r="36" spans="1:15" ht="18" customHeight="1">
      <c r="A36" s="230">
        <v>19</v>
      </c>
      <c r="B36" s="281" t="s">
        <v>79</v>
      </c>
      <c r="C36" s="281"/>
      <c r="D36" s="281"/>
      <c r="E36" s="281"/>
      <c r="F36" s="281"/>
      <c r="G36" s="285"/>
      <c r="H36" s="285"/>
      <c r="I36" s="286"/>
      <c r="J36" s="286"/>
      <c r="K36" s="286"/>
      <c r="L36" s="286"/>
      <c r="M36" s="286"/>
      <c r="N36" s="38"/>
      <c r="O36" s="39"/>
    </row>
    <row r="37" spans="1:15" s="33" customFormat="1" ht="18" customHeight="1">
      <c r="A37" s="231">
        <v>20</v>
      </c>
      <c r="B37" s="298" t="s">
        <v>26</v>
      </c>
      <c r="C37" s="298">
        <f t="shared" ref="C37:M37" si="4">C34+C35-C36</f>
        <v>84</v>
      </c>
      <c r="D37" s="298">
        <f t="shared" si="4"/>
        <v>-126</v>
      </c>
      <c r="E37" s="298">
        <f t="shared" si="4"/>
        <v>-215</v>
      </c>
      <c r="F37" s="298">
        <f t="shared" si="4"/>
        <v>0</v>
      </c>
      <c r="G37" s="299">
        <f t="shared" si="4"/>
        <v>21.05208333333394</v>
      </c>
      <c r="H37" s="299">
        <f t="shared" si="4"/>
        <v>42.104166666667879</v>
      </c>
      <c r="I37" s="300">
        <f>I34+E35-E36</f>
        <v>63.15625</v>
      </c>
      <c r="J37" s="300">
        <f t="shared" si="4"/>
        <v>12</v>
      </c>
      <c r="K37" s="300">
        <f t="shared" si="4"/>
        <v>22</v>
      </c>
      <c r="L37" s="300">
        <f t="shared" si="4"/>
        <v>22</v>
      </c>
      <c r="M37" s="300">
        <f t="shared" si="4"/>
        <v>22</v>
      </c>
      <c r="N37" s="37"/>
      <c r="O37" s="37"/>
    </row>
    <row r="42" spans="1:15">
      <c r="B42" s="66"/>
    </row>
  </sheetData>
  <mergeCells count="21">
    <mergeCell ref="A4:M4"/>
    <mergeCell ref="A5:B5"/>
    <mergeCell ref="A6:B6"/>
    <mergeCell ref="A7:B7"/>
    <mergeCell ref="D8:D10"/>
    <mergeCell ref="I8:I10"/>
    <mergeCell ref="B11:M11"/>
    <mergeCell ref="C5:M5"/>
    <mergeCell ref="G6:M6"/>
    <mergeCell ref="C8:C10"/>
    <mergeCell ref="F8:F10"/>
    <mergeCell ref="G8:G10"/>
    <mergeCell ref="K8:K10"/>
    <mergeCell ref="L8:L10"/>
    <mergeCell ref="M8:M10"/>
    <mergeCell ref="H8:H10"/>
    <mergeCell ref="J8:J10"/>
    <mergeCell ref="G7:K7"/>
    <mergeCell ref="L7:M7"/>
    <mergeCell ref="A8:B10"/>
    <mergeCell ref="E8:E10"/>
  </mergeCells>
  <pageMargins left="0.86614173228346458" right="0.55118110236220474" top="0.94488188976377963" bottom="0.43307086614173229" header="0.51181102362204722" footer="0.23622047244094491"/>
  <pageSetup paperSize="9" scale="76" orientation="landscape" r:id="rId1"/>
  <headerFooter alignWithMargins="0">
    <oddHeader>&amp;LWirtschaftsplan für Eigenbetriebe und Museumsstiftungen
1. Erfolgsplan&amp;RBlatt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K65"/>
  <sheetViews>
    <sheetView view="pageLayout" topLeftCell="C1" zoomScale="50" zoomScaleNormal="75" zoomScalePageLayoutView="50" workbookViewId="0">
      <selection activeCell="I51" sqref="I51"/>
    </sheetView>
  </sheetViews>
  <sheetFormatPr baseColWidth="10" defaultColWidth="3.5703125" defaultRowHeight="14.25"/>
  <cols>
    <col min="1" max="1" width="6.5703125" customWidth="1"/>
    <col min="2" max="2" width="51.7109375" style="1" customWidth="1"/>
    <col min="3" max="10" width="19.42578125" style="1" customWidth="1"/>
  </cols>
  <sheetData>
    <row r="1" spans="1:10" ht="15.75" customHeight="1">
      <c r="B1" s="16"/>
      <c r="C1" s="16"/>
      <c r="D1" s="16"/>
      <c r="E1" s="16"/>
      <c r="F1" s="20"/>
      <c r="G1" s="20"/>
      <c r="H1" s="20"/>
      <c r="I1" s="20"/>
      <c r="J1" s="20"/>
    </row>
    <row r="2" spans="1:10" ht="15.75" customHeight="1">
      <c r="B2" s="16"/>
      <c r="C2" s="16"/>
      <c r="D2" s="16"/>
      <c r="E2" s="16"/>
      <c r="F2" s="20"/>
      <c r="G2" s="20"/>
      <c r="H2" s="20"/>
      <c r="I2" s="20"/>
      <c r="J2" s="20"/>
    </row>
    <row r="3" spans="1:10" ht="15.75" customHeight="1">
      <c r="B3" s="20"/>
      <c r="C3" s="20"/>
      <c r="D3" s="20"/>
      <c r="E3" s="20"/>
      <c r="F3" s="20"/>
      <c r="G3" s="20"/>
      <c r="H3" s="20"/>
      <c r="I3" s="20"/>
      <c r="J3" s="20"/>
    </row>
    <row r="4" spans="1:10" ht="15.75" customHeight="1">
      <c r="B4" s="20"/>
      <c r="C4" s="20"/>
      <c r="D4" s="20"/>
      <c r="E4" s="20"/>
      <c r="F4" s="20"/>
      <c r="G4" s="20"/>
      <c r="H4" s="20"/>
      <c r="I4" s="20"/>
      <c r="J4" s="20"/>
    </row>
    <row r="5" spans="1:10" ht="18">
      <c r="A5" s="417" t="s">
        <v>17</v>
      </c>
      <c r="B5" s="418"/>
      <c r="C5" s="418"/>
      <c r="D5" s="418"/>
      <c r="E5" s="418"/>
      <c r="F5" s="418"/>
      <c r="G5" s="418"/>
      <c r="H5" s="418"/>
      <c r="I5" s="418"/>
      <c r="J5" s="419"/>
    </row>
    <row r="6" spans="1:10" ht="18" customHeight="1">
      <c r="A6" s="410" t="s">
        <v>145</v>
      </c>
      <c r="B6" s="416"/>
      <c r="C6" s="414" t="s">
        <v>159</v>
      </c>
      <c r="D6" s="414"/>
      <c r="E6" s="414"/>
      <c r="F6" s="414"/>
      <c r="G6" s="414"/>
      <c r="H6" s="414"/>
      <c r="I6" s="414"/>
      <c r="J6" s="415"/>
    </row>
    <row r="7" spans="1:10" ht="18" customHeight="1">
      <c r="A7" s="339"/>
      <c r="B7" s="340"/>
      <c r="C7" s="341"/>
      <c r="D7" s="341"/>
      <c r="E7" s="341"/>
      <c r="F7" s="341"/>
      <c r="G7" s="420" t="s">
        <v>143</v>
      </c>
      <c r="H7" s="421"/>
      <c r="I7" s="422" t="s">
        <v>142</v>
      </c>
      <c r="J7" s="421"/>
    </row>
    <row r="8" spans="1:10" ht="12.75">
      <c r="A8" s="232" t="s">
        <v>149</v>
      </c>
      <c r="B8" s="51" t="s">
        <v>29</v>
      </c>
      <c r="C8" s="248" t="s">
        <v>153</v>
      </c>
      <c r="D8" s="248" t="s">
        <v>191</v>
      </c>
      <c r="E8" s="43" t="s">
        <v>27</v>
      </c>
      <c r="F8" s="248" t="s">
        <v>152</v>
      </c>
      <c r="G8" s="221" t="s">
        <v>7</v>
      </c>
      <c r="H8" s="41" t="s">
        <v>8</v>
      </c>
      <c r="I8" s="221" t="s">
        <v>9</v>
      </c>
      <c r="J8" s="221" t="s">
        <v>135</v>
      </c>
    </row>
    <row r="9" spans="1:10" ht="12.75">
      <c r="A9" s="233"/>
      <c r="B9" s="53"/>
      <c r="C9" s="220">
        <v>2015</v>
      </c>
      <c r="D9" s="220">
        <v>2016</v>
      </c>
      <c r="E9" s="220">
        <v>2017</v>
      </c>
      <c r="F9" s="44">
        <v>2017</v>
      </c>
      <c r="G9" s="44">
        <v>2018</v>
      </c>
      <c r="H9" s="44">
        <v>2019</v>
      </c>
      <c r="I9" s="42">
        <v>2020</v>
      </c>
      <c r="J9" s="42">
        <v>2021</v>
      </c>
    </row>
    <row r="10" spans="1:10" ht="12.75">
      <c r="A10" s="237"/>
      <c r="B10" s="52"/>
      <c r="C10" s="45" t="s">
        <v>4</v>
      </c>
      <c r="D10" s="45" t="s">
        <v>4</v>
      </c>
      <c r="E10" s="249" t="s">
        <v>4</v>
      </c>
      <c r="F10" s="45" t="s">
        <v>4</v>
      </c>
      <c r="G10" s="45" t="s">
        <v>4</v>
      </c>
      <c r="H10" s="45" t="s">
        <v>4</v>
      </c>
      <c r="I10" s="45" t="s">
        <v>4</v>
      </c>
      <c r="J10" s="45" t="s">
        <v>4</v>
      </c>
    </row>
    <row r="11" spans="1:10" s="11" customFormat="1">
      <c r="A11" s="234"/>
      <c r="B11" s="50"/>
      <c r="C11" s="46"/>
      <c r="D11" s="46"/>
      <c r="E11" s="46"/>
      <c r="F11" s="4"/>
      <c r="G11" s="4"/>
      <c r="H11" s="4"/>
      <c r="I11" s="4"/>
      <c r="J11" s="4"/>
    </row>
    <row r="12" spans="1:10" s="11" customFormat="1">
      <c r="A12" s="234">
        <v>1</v>
      </c>
      <c r="B12" s="30" t="s">
        <v>44</v>
      </c>
      <c r="C12" s="324">
        <f>SUM(Investitionsplan!F43)</f>
        <v>432</v>
      </c>
      <c r="D12" s="324">
        <f>SUM(Investitionsplan!G43)</f>
        <v>439</v>
      </c>
      <c r="E12" s="324">
        <f>SUM(Investitionsplan!H43)</f>
        <v>559</v>
      </c>
      <c r="F12" s="324">
        <f>SUM(Investitionsplan!I43)</f>
        <v>330</v>
      </c>
      <c r="G12" s="324">
        <f>Investitionsplan!J43</f>
        <v>164</v>
      </c>
      <c r="H12" s="324">
        <f>SUM(Investitionsplan!K43)</f>
        <v>169</v>
      </c>
      <c r="I12" s="324">
        <f>SUM(Investitionsplan!L43)</f>
        <v>173</v>
      </c>
      <c r="J12" s="324">
        <f>SUM(Investitionsplan!M43)</f>
        <v>176</v>
      </c>
    </row>
    <row r="13" spans="1:10" s="11" customFormat="1">
      <c r="A13" s="235">
        <v>2</v>
      </c>
      <c r="B13" s="8" t="s">
        <v>30</v>
      </c>
      <c r="C13" s="321">
        <f>SUM(Investitionsplan!F17)</f>
        <v>81</v>
      </c>
      <c r="D13" s="321">
        <f>SUM(Investitionsplan!G17)</f>
        <v>4</v>
      </c>
      <c r="E13" s="321">
        <f>SUM(Investitionsplan!H17)</f>
        <v>29</v>
      </c>
      <c r="F13" s="322">
        <f>SUM(Investitionsplan!I17)</f>
        <v>46</v>
      </c>
      <c r="G13" s="322">
        <f>SUM(Investitionsplan!J17)</f>
        <v>0</v>
      </c>
      <c r="H13" s="322">
        <f>SUM(Investitionsplan!K17)</f>
        <v>0</v>
      </c>
      <c r="I13" s="322">
        <f>SUM(Investitionsplan!L17)</f>
        <v>0</v>
      </c>
      <c r="J13" s="322">
        <f>SUM(Investitionsplan!M17)</f>
        <v>0</v>
      </c>
    </row>
    <row r="14" spans="1:10" s="11" customFormat="1">
      <c r="A14" s="235">
        <v>3</v>
      </c>
      <c r="B14" s="8" t="s">
        <v>31</v>
      </c>
      <c r="C14" s="321"/>
      <c r="D14" s="321"/>
      <c r="E14" s="321"/>
      <c r="F14" s="322">
        <f>Investitionsplan!I23</f>
        <v>0</v>
      </c>
      <c r="G14" s="322"/>
      <c r="H14" s="322"/>
      <c r="I14" s="322"/>
      <c r="J14" s="322"/>
    </row>
    <row r="15" spans="1:10" s="11" customFormat="1">
      <c r="A15" s="235">
        <v>4</v>
      </c>
      <c r="B15" s="8" t="s">
        <v>32</v>
      </c>
      <c r="C15" s="321">
        <f>SUM(Investitionsplan!F29)</f>
        <v>0</v>
      </c>
      <c r="D15" s="321">
        <f>SUM(Investitionsplan!G29)</f>
        <v>0</v>
      </c>
      <c r="E15" s="321">
        <f>SUM(Investitionsplan!H29)</f>
        <v>0</v>
      </c>
      <c r="F15" s="322">
        <f>SUM(Investitionsplan!I29)</f>
        <v>0</v>
      </c>
      <c r="G15" s="322">
        <f>SUM(Investitionsplan!J29)</f>
        <v>0</v>
      </c>
      <c r="H15" s="322">
        <f>SUM(Investitionsplan!K29)</f>
        <v>0</v>
      </c>
      <c r="I15" s="322">
        <f>SUM(Investitionsplan!L29)</f>
        <v>0</v>
      </c>
      <c r="J15" s="322">
        <f>SUM(Investitionsplan!M29)</f>
        <v>0</v>
      </c>
    </row>
    <row r="16" spans="1:10" s="11" customFormat="1">
      <c r="A16" s="235">
        <v>5</v>
      </c>
      <c r="B16" s="47" t="s">
        <v>33</v>
      </c>
      <c r="C16" s="323"/>
      <c r="D16" s="323"/>
      <c r="E16" s="323"/>
      <c r="F16" s="322"/>
      <c r="G16" s="322"/>
      <c r="H16" s="322"/>
      <c r="I16" s="322"/>
      <c r="J16" s="322"/>
    </row>
    <row r="17" spans="1:11" s="11" customFormat="1">
      <c r="A17" s="234">
        <v>6</v>
      </c>
      <c r="B17" s="47" t="s">
        <v>34</v>
      </c>
      <c r="C17" s="323"/>
      <c r="D17" s="362">
        <f>302+16</f>
        <v>318</v>
      </c>
      <c r="E17" s="362">
        <f>SUM(Investitionsplan!H35-180-100)</f>
        <v>250</v>
      </c>
      <c r="F17" s="322"/>
      <c r="G17" s="322"/>
      <c r="H17" s="322"/>
      <c r="I17" s="322"/>
      <c r="J17" s="322"/>
    </row>
    <row r="18" spans="1:11" s="11" customFormat="1">
      <c r="A18" s="234">
        <v>7</v>
      </c>
      <c r="B18" s="47" t="s">
        <v>35</v>
      </c>
      <c r="C18" s="323">
        <f>SUM(Investitionsplan!F35)</f>
        <v>351</v>
      </c>
      <c r="D18" s="323">
        <f>SUM(Investitionsplan!G35)-318</f>
        <v>117</v>
      </c>
      <c r="E18" s="323">
        <f>SUM(Investitionsplan!H35)-250</f>
        <v>280</v>
      </c>
      <c r="F18" s="322">
        <f>SUM(Investitionsplan!I35)</f>
        <v>284</v>
      </c>
      <c r="G18" s="322">
        <f>SUM(Investitionsplan!J35)</f>
        <v>164</v>
      </c>
      <c r="H18" s="322">
        <f>SUM(Investitionsplan!K35)</f>
        <v>169</v>
      </c>
      <c r="I18" s="322">
        <f>SUM(Investitionsplan!L35)</f>
        <v>173</v>
      </c>
      <c r="J18" s="322">
        <f>SUM(Investitionsplan!M35)</f>
        <v>176</v>
      </c>
    </row>
    <row r="19" spans="1:11">
      <c r="A19" s="235">
        <v>8</v>
      </c>
      <c r="B19" s="145" t="s">
        <v>80</v>
      </c>
      <c r="C19" s="322"/>
      <c r="D19" s="327"/>
      <c r="E19" s="327"/>
      <c r="F19" s="327"/>
      <c r="G19" s="327"/>
      <c r="H19" s="327"/>
      <c r="I19" s="327"/>
      <c r="J19" s="327"/>
    </row>
    <row r="20" spans="1:11">
      <c r="A20" s="235"/>
      <c r="B20" s="145" t="s">
        <v>163</v>
      </c>
      <c r="C20" s="322">
        <v>494</v>
      </c>
      <c r="D20" s="327">
        <f>418+29</f>
        <v>447</v>
      </c>
      <c r="E20" s="327">
        <v>303</v>
      </c>
      <c r="F20" s="327"/>
      <c r="G20" s="327"/>
      <c r="H20" s="327"/>
      <c r="I20" s="327"/>
      <c r="J20" s="327"/>
    </row>
    <row r="21" spans="1:11">
      <c r="A21" s="235"/>
      <c r="B21" s="145" t="s">
        <v>164</v>
      </c>
      <c r="C21" s="304">
        <v>17</v>
      </c>
      <c r="D21" s="328">
        <v>17</v>
      </c>
      <c r="E21" s="328">
        <v>17</v>
      </c>
      <c r="F21" s="328">
        <v>17</v>
      </c>
      <c r="G21" s="328">
        <v>17</v>
      </c>
      <c r="H21" s="328">
        <v>17</v>
      </c>
      <c r="I21" s="328">
        <v>17</v>
      </c>
      <c r="J21" s="328">
        <v>17</v>
      </c>
    </row>
    <row r="22" spans="1:11">
      <c r="A22" s="235"/>
      <c r="B22" s="145" t="s">
        <v>166</v>
      </c>
      <c r="C22" s="304">
        <f>SUM(Erfolgsplan!C37)</f>
        <v>84</v>
      </c>
      <c r="D22" s="328">
        <f>SUM(Erfolgsplan!D37)</f>
        <v>-126</v>
      </c>
      <c r="E22" s="328">
        <f>SUM(Erfolgsplan!E37)</f>
        <v>-215</v>
      </c>
      <c r="F22" s="328">
        <f>SUM(Erfolgsplan!F37)</f>
        <v>0</v>
      </c>
      <c r="G22" s="328">
        <f>SUM(Erfolgsplan!J37)</f>
        <v>12</v>
      </c>
      <c r="H22" s="328">
        <f>Erfolgsplan!K37</f>
        <v>22</v>
      </c>
      <c r="I22" s="328">
        <f>Erfolgsplan!L37</f>
        <v>22</v>
      </c>
      <c r="J22" s="328">
        <f>Erfolgsplan!M37</f>
        <v>22</v>
      </c>
      <c r="K22" s="336"/>
    </row>
    <row r="23" spans="1:11">
      <c r="A23" s="234">
        <v>9</v>
      </c>
      <c r="B23" s="48" t="s">
        <v>12</v>
      </c>
      <c r="C23" s="303">
        <f>SUM(C12+C20+C21+C22)</f>
        <v>1027</v>
      </c>
      <c r="D23" s="303">
        <f t="shared" ref="D23:J23" si="0">SUM(D12+D20+D21+D22)</f>
        <v>777</v>
      </c>
      <c r="E23" s="303">
        <f t="shared" si="0"/>
        <v>664</v>
      </c>
      <c r="F23" s="303">
        <f t="shared" si="0"/>
        <v>347</v>
      </c>
      <c r="G23" s="303">
        <f t="shared" si="0"/>
        <v>193</v>
      </c>
      <c r="H23" s="303">
        <f t="shared" si="0"/>
        <v>208</v>
      </c>
      <c r="I23" s="303">
        <f t="shared" si="0"/>
        <v>212</v>
      </c>
      <c r="J23" s="303">
        <f t="shared" si="0"/>
        <v>215</v>
      </c>
    </row>
    <row r="24" spans="1:11" s="11" customFormat="1">
      <c r="A24" s="234"/>
      <c r="B24" s="50"/>
      <c r="C24" s="49"/>
      <c r="D24" s="329"/>
      <c r="E24" s="329"/>
      <c r="F24" s="329"/>
      <c r="G24" s="329"/>
      <c r="H24" s="330"/>
      <c r="I24" s="329"/>
      <c r="J24" s="329"/>
    </row>
    <row r="25" spans="1:11" s="11" customFormat="1">
      <c r="A25" s="234">
        <v>10</v>
      </c>
      <c r="B25" s="8" t="s">
        <v>46</v>
      </c>
      <c r="C25" s="46"/>
      <c r="D25" s="164"/>
      <c r="E25" s="164"/>
      <c r="F25" s="163"/>
      <c r="G25" s="163"/>
      <c r="H25" s="163"/>
      <c r="I25" s="163"/>
      <c r="J25" s="163"/>
    </row>
    <row r="26" spans="1:11" s="11" customFormat="1">
      <c r="A26" s="234">
        <v>11</v>
      </c>
      <c r="B26" s="8" t="s">
        <v>36</v>
      </c>
      <c r="C26" s="46"/>
      <c r="D26" s="164"/>
      <c r="E26" s="164"/>
      <c r="F26" s="163"/>
      <c r="G26" s="163"/>
      <c r="H26" s="163"/>
      <c r="I26" s="163"/>
      <c r="J26" s="163"/>
    </row>
    <row r="27" spans="1:11" s="11" customFormat="1">
      <c r="A27" s="234">
        <v>12</v>
      </c>
      <c r="B27" s="8" t="s">
        <v>37</v>
      </c>
      <c r="C27" s="46"/>
      <c r="D27" s="164"/>
      <c r="E27" s="164"/>
      <c r="F27" s="163"/>
      <c r="G27" s="163"/>
      <c r="H27" s="163"/>
      <c r="I27" s="163"/>
      <c r="J27" s="163"/>
    </row>
    <row r="28" spans="1:11" s="11" customFormat="1">
      <c r="A28" s="234">
        <v>13</v>
      </c>
      <c r="B28" s="227" t="s">
        <v>144</v>
      </c>
      <c r="C28" s="46"/>
      <c r="D28" s="164"/>
      <c r="E28" s="164"/>
      <c r="F28" s="163"/>
      <c r="G28" s="163"/>
      <c r="H28" s="163"/>
      <c r="I28" s="163"/>
      <c r="J28" s="163"/>
    </row>
    <row r="29" spans="1:11" s="11" customFormat="1">
      <c r="A29" s="234">
        <v>14</v>
      </c>
      <c r="B29" s="8" t="s">
        <v>38</v>
      </c>
      <c r="C29" s="46"/>
      <c r="D29" s="164"/>
      <c r="E29" s="164"/>
      <c r="F29" s="163"/>
      <c r="G29" s="163"/>
      <c r="H29" s="163"/>
      <c r="I29" s="163"/>
      <c r="J29" s="163"/>
    </row>
    <row r="30" spans="1:11" s="11" customFormat="1">
      <c r="A30" s="234">
        <v>15</v>
      </c>
      <c r="B30" s="8" t="s">
        <v>39</v>
      </c>
      <c r="C30" s="164"/>
      <c r="D30" s="164"/>
      <c r="E30" s="164"/>
      <c r="F30" s="163"/>
      <c r="G30" s="163"/>
      <c r="H30" s="163"/>
      <c r="I30" s="163"/>
      <c r="J30" s="163"/>
    </row>
    <row r="31" spans="1:11" s="11" customFormat="1">
      <c r="A31" s="234">
        <v>16</v>
      </c>
      <c r="B31" s="8" t="s">
        <v>43</v>
      </c>
      <c r="C31" s="164"/>
      <c r="D31" s="164"/>
      <c r="E31" s="164"/>
      <c r="F31" s="163"/>
      <c r="G31" s="163"/>
      <c r="H31" s="163"/>
      <c r="I31" s="163"/>
      <c r="J31" s="163"/>
    </row>
    <row r="32" spans="1:11" s="11" customFormat="1">
      <c r="A32" s="234">
        <v>17</v>
      </c>
      <c r="B32" s="8" t="s">
        <v>40</v>
      </c>
      <c r="C32" s="320">
        <f>SUM(Erfolgsplan!C26)</f>
        <v>387</v>
      </c>
      <c r="D32" s="320">
        <f>SUM(Erfolgsplan!D26)</f>
        <v>334</v>
      </c>
      <c r="E32" s="320">
        <f>SUM(Erfolgsplan!E26)</f>
        <v>400</v>
      </c>
      <c r="F32" s="183">
        <f>SUM(Erfolgsplan!F26)</f>
        <v>306</v>
      </c>
      <c r="G32" s="183">
        <f>SUM(Erfolgsplan!J26)</f>
        <v>461</v>
      </c>
      <c r="H32" s="183">
        <f>SUM(Erfolgsplan!K26)</f>
        <v>475</v>
      </c>
      <c r="I32" s="183">
        <f>SUM(Erfolgsplan!L26)</f>
        <v>485</v>
      </c>
      <c r="J32" s="183">
        <f>SUM(Erfolgsplan!M26)</f>
        <v>494</v>
      </c>
    </row>
    <row r="33" spans="1:10" s="11" customFormat="1">
      <c r="A33" s="234">
        <v>18</v>
      </c>
      <c r="B33" s="8" t="s">
        <v>41</v>
      </c>
      <c r="C33" s="164"/>
      <c r="D33" s="164"/>
      <c r="E33" s="164"/>
      <c r="F33" s="163"/>
      <c r="G33" s="163"/>
      <c r="H33" s="163"/>
      <c r="I33" s="163"/>
      <c r="J33" s="163"/>
    </row>
    <row r="34" spans="1:10" s="11" customFormat="1">
      <c r="A34" s="234">
        <v>19</v>
      </c>
      <c r="B34" s="8" t="s">
        <v>42</v>
      </c>
      <c r="C34" s="320">
        <f>SUM(Erfolgsplan!C37)</f>
        <v>84</v>
      </c>
      <c r="D34" s="320"/>
      <c r="E34" s="320"/>
      <c r="F34" s="320">
        <f>SUM(Erfolgsplan!F37)</f>
        <v>0</v>
      </c>
      <c r="G34" s="320">
        <f>Erfolgsplan!J37</f>
        <v>12</v>
      </c>
      <c r="H34" s="320">
        <f>Erfolgsplan!K37</f>
        <v>22</v>
      </c>
      <c r="I34" s="320">
        <f>Erfolgsplan!L37</f>
        <v>22</v>
      </c>
      <c r="J34" s="320">
        <f>Erfolgsplan!M37</f>
        <v>22</v>
      </c>
    </row>
    <row r="35" spans="1:10" s="11" customFormat="1">
      <c r="A35" s="235">
        <v>20</v>
      </c>
      <c r="B35" s="227" t="s">
        <v>165</v>
      </c>
      <c r="C35" s="164">
        <v>300</v>
      </c>
      <c r="D35" s="164"/>
      <c r="E35" s="345"/>
      <c r="F35" s="163"/>
      <c r="G35" s="163"/>
      <c r="H35" s="163"/>
      <c r="I35" s="163"/>
      <c r="J35" s="163"/>
    </row>
    <row r="36" spans="1:10" s="11" customFormat="1">
      <c r="A36" s="235"/>
      <c r="B36" s="227" t="s">
        <v>202</v>
      </c>
      <c r="C36" s="164"/>
      <c r="D36" s="164">
        <f>447+17</f>
        <v>464</v>
      </c>
      <c r="E36" s="164">
        <f>17+303</f>
        <v>320</v>
      </c>
      <c r="F36" s="163"/>
      <c r="G36" s="163">
        <v>17</v>
      </c>
      <c r="H36" s="163">
        <v>17</v>
      </c>
      <c r="I36" s="163">
        <v>17</v>
      </c>
      <c r="J36" s="163">
        <v>17</v>
      </c>
    </row>
    <row r="37" spans="1:10" s="11" customFormat="1">
      <c r="A37" s="235"/>
      <c r="B37" s="227" t="s">
        <v>171</v>
      </c>
      <c r="C37" s="164"/>
      <c r="D37" s="164"/>
      <c r="E37" s="164"/>
      <c r="F37" s="163">
        <v>41</v>
      </c>
      <c r="G37" s="346"/>
      <c r="H37" s="346"/>
      <c r="I37" s="346"/>
      <c r="J37" s="346"/>
    </row>
    <row r="38" spans="1:10">
      <c r="A38" s="235">
        <v>21</v>
      </c>
      <c r="B38" s="8" t="s">
        <v>15</v>
      </c>
      <c r="C38" s="164"/>
      <c r="D38" s="164"/>
      <c r="E38" s="164"/>
      <c r="F38" s="163"/>
      <c r="G38" s="163"/>
      <c r="H38" s="163"/>
      <c r="I38" s="163"/>
      <c r="J38" s="163"/>
    </row>
    <row r="39" spans="1:10" ht="14.1" customHeight="1">
      <c r="A39" s="236">
        <v>22</v>
      </c>
      <c r="B39" s="48" t="s">
        <v>13</v>
      </c>
      <c r="C39" s="303">
        <f>SUM(C24:C38)</f>
        <v>771</v>
      </c>
      <c r="D39" s="303">
        <f t="shared" ref="D39:J39" si="1">SUM(D24:D38)</f>
        <v>798</v>
      </c>
      <c r="E39" s="303">
        <f t="shared" si="1"/>
        <v>720</v>
      </c>
      <c r="F39" s="303">
        <f t="shared" si="1"/>
        <v>347</v>
      </c>
      <c r="G39" s="303">
        <f t="shared" si="1"/>
        <v>490</v>
      </c>
      <c r="H39" s="303">
        <f t="shared" si="1"/>
        <v>514</v>
      </c>
      <c r="I39" s="303">
        <f t="shared" si="1"/>
        <v>524</v>
      </c>
      <c r="J39" s="303">
        <f t="shared" si="1"/>
        <v>533</v>
      </c>
    </row>
    <row r="40" spans="1:10" ht="14.1" customHeight="1">
      <c r="B40" s="261"/>
      <c r="C40" s="166"/>
      <c r="D40" s="54"/>
      <c r="E40" s="261"/>
      <c r="F40" s="267"/>
      <c r="G40" s="267"/>
      <c r="H40" s="168"/>
      <c r="I40" s="262"/>
      <c r="J40" s="262"/>
    </row>
    <row r="41" spans="1:10" ht="14.1" customHeight="1">
      <c r="B41" s="227" t="s">
        <v>154</v>
      </c>
      <c r="C41" s="46"/>
      <c r="D41" s="57"/>
      <c r="E41" s="8"/>
      <c r="F41" s="30"/>
      <c r="G41" s="30"/>
      <c r="H41" s="4"/>
      <c r="I41" s="263"/>
      <c r="J41" s="263"/>
    </row>
    <row r="42" spans="1:10" ht="14.1" customHeight="1">
      <c r="B42" s="361" t="s">
        <v>155</v>
      </c>
      <c r="C42" s="167">
        <v>4387</v>
      </c>
      <c r="D42" s="264">
        <v>4938</v>
      </c>
      <c r="E42" s="266"/>
      <c r="F42" s="268"/>
      <c r="G42" s="268"/>
      <c r="H42" s="169"/>
      <c r="I42" s="265"/>
      <c r="J42" s="265"/>
    </row>
    <row r="43" spans="1:10" ht="14.1" customHeight="1">
      <c r="B43" s="57"/>
      <c r="C43" s="325"/>
      <c r="D43" s="326"/>
      <c r="E43" s="326"/>
      <c r="F43" s="326"/>
      <c r="G43" s="326"/>
      <c r="H43" s="326"/>
      <c r="I43" s="326"/>
      <c r="J43" s="326"/>
    </row>
    <row r="44" spans="1:10" ht="14.1" customHeight="1">
      <c r="B44" s="161" t="s">
        <v>86</v>
      </c>
      <c r="C44" s="57"/>
      <c r="D44" s="57"/>
      <c r="E44" s="57"/>
      <c r="F44" s="7"/>
      <c r="G44" s="7"/>
      <c r="H44" s="7"/>
      <c r="I44" s="7"/>
      <c r="J44" s="7"/>
    </row>
    <row r="45" spans="1:10" ht="14.1" customHeight="1">
      <c r="B45" s="162" t="s">
        <v>87</v>
      </c>
      <c r="C45" s="248" t="s">
        <v>153</v>
      </c>
      <c r="D45" s="248" t="s">
        <v>153</v>
      </c>
      <c r="E45" s="43" t="s">
        <v>27</v>
      </c>
      <c r="F45" s="248" t="s">
        <v>151</v>
      </c>
      <c r="G45" s="40" t="s">
        <v>7</v>
      </c>
      <c r="H45" s="41" t="s">
        <v>8</v>
      </c>
      <c r="I45" s="40" t="s">
        <v>9</v>
      </c>
      <c r="J45" s="221" t="s">
        <v>135</v>
      </c>
    </row>
    <row r="46" spans="1:10" ht="14.1" customHeight="1">
      <c r="B46" s="53"/>
      <c r="C46" s="220">
        <v>2015</v>
      </c>
      <c r="D46" s="220">
        <v>2016</v>
      </c>
      <c r="E46" s="44">
        <v>2017</v>
      </c>
      <c r="F46" s="44">
        <v>2017</v>
      </c>
      <c r="G46" s="44">
        <v>2018</v>
      </c>
      <c r="H46" s="44">
        <v>2019</v>
      </c>
      <c r="I46" s="42">
        <v>2020</v>
      </c>
      <c r="J46" s="42">
        <v>2021</v>
      </c>
    </row>
    <row r="47" spans="1:10" ht="14.1" customHeight="1">
      <c r="B47" s="52"/>
      <c r="C47" s="45" t="s">
        <v>4</v>
      </c>
      <c r="D47" s="45" t="s">
        <v>4</v>
      </c>
      <c r="E47" s="45" t="s">
        <v>4</v>
      </c>
      <c r="F47" s="45" t="s">
        <v>4</v>
      </c>
      <c r="G47" s="45" t="s">
        <v>4</v>
      </c>
      <c r="H47" s="45" t="s">
        <v>4</v>
      </c>
      <c r="I47" s="45" t="s">
        <v>4</v>
      </c>
      <c r="J47" s="45" t="s">
        <v>4</v>
      </c>
    </row>
    <row r="48" spans="1:10" ht="14.1" customHeight="1">
      <c r="B48" s="50"/>
      <c r="C48" s="166"/>
      <c r="D48" s="166"/>
      <c r="E48" s="166"/>
      <c r="F48" s="168"/>
      <c r="G48" s="168"/>
      <c r="H48" s="168"/>
      <c r="I48" s="168"/>
      <c r="J48" s="168"/>
    </row>
    <row r="49" spans="2:10" ht="14.1" customHeight="1">
      <c r="B49" s="170" t="s">
        <v>88</v>
      </c>
      <c r="C49" s="331">
        <v>9169</v>
      </c>
      <c r="D49" s="331">
        <v>9043</v>
      </c>
      <c r="E49" s="331">
        <v>8828</v>
      </c>
      <c r="F49" s="331">
        <v>8828</v>
      </c>
      <c r="G49" s="331">
        <v>8840</v>
      </c>
      <c r="H49" s="331">
        <v>8862</v>
      </c>
      <c r="I49" s="331">
        <v>8884</v>
      </c>
      <c r="J49" s="331">
        <v>8906</v>
      </c>
    </row>
    <row r="50" spans="2:10" ht="14.1" customHeight="1">
      <c r="B50" s="164" t="s">
        <v>89</v>
      </c>
      <c r="C50" s="332">
        <v>2221</v>
      </c>
      <c r="D50" s="332">
        <v>1774</v>
      </c>
      <c r="E50" s="320">
        <v>1471</v>
      </c>
      <c r="F50" s="333">
        <v>1471</v>
      </c>
      <c r="G50" s="333">
        <v>1471</v>
      </c>
      <c r="H50" s="333">
        <v>1471</v>
      </c>
      <c r="I50" s="333">
        <v>1471</v>
      </c>
      <c r="J50" s="333">
        <v>1471</v>
      </c>
    </row>
    <row r="51" spans="2:10" ht="14.1" customHeight="1">
      <c r="B51" s="165" t="s">
        <v>90</v>
      </c>
      <c r="C51" s="334">
        <v>2863</v>
      </c>
      <c r="D51" s="334">
        <v>3395</v>
      </c>
      <c r="E51" s="354">
        <v>3572</v>
      </c>
      <c r="F51" s="335">
        <v>3572</v>
      </c>
      <c r="G51" s="335">
        <v>3357</v>
      </c>
      <c r="H51" s="335">
        <v>3369</v>
      </c>
      <c r="I51" s="335">
        <v>3391</v>
      </c>
      <c r="J51" s="335">
        <v>3413</v>
      </c>
    </row>
    <row r="52" spans="2:10" ht="14.1" customHeight="1">
      <c r="B52" s="57"/>
      <c r="C52" s="57"/>
      <c r="D52" s="57"/>
      <c r="E52" s="57"/>
      <c r="F52" s="7"/>
      <c r="G52" s="7"/>
      <c r="H52" s="7"/>
      <c r="I52" s="7"/>
      <c r="J52" s="7"/>
    </row>
    <row r="53" spans="2:10" ht="14.1" customHeight="1">
      <c r="B53" s="161"/>
      <c r="C53" s="57"/>
      <c r="D53" s="57"/>
      <c r="E53" s="57"/>
      <c r="F53" s="7"/>
      <c r="G53" s="7"/>
      <c r="H53" s="7"/>
      <c r="I53" s="7"/>
      <c r="J53" s="7"/>
    </row>
    <row r="54" spans="2:10" ht="18" customHeight="1">
      <c r="B54" s="161" t="s">
        <v>85</v>
      </c>
      <c r="C54" s="57"/>
      <c r="D54" s="57"/>
      <c r="E54" s="57"/>
      <c r="F54" s="7"/>
      <c r="G54" s="7"/>
      <c r="H54" s="7"/>
      <c r="I54" s="7"/>
      <c r="J54" s="7"/>
    </row>
    <row r="55" spans="2:10" ht="12.75">
      <c r="B55" s="146" t="s">
        <v>84</v>
      </c>
      <c r="C55" s="147"/>
      <c r="D55" s="147"/>
      <c r="E55" s="147"/>
      <c r="F55" s="147" t="s">
        <v>18</v>
      </c>
      <c r="G55" s="147" t="s">
        <v>7</v>
      </c>
      <c r="H55" s="41" t="s">
        <v>8</v>
      </c>
      <c r="I55" s="40" t="s">
        <v>9</v>
      </c>
      <c r="J55" s="221" t="s">
        <v>135</v>
      </c>
    </row>
    <row r="56" spans="2:10" ht="12.75">
      <c r="B56" s="148"/>
      <c r="C56" s="151"/>
      <c r="D56" s="151"/>
      <c r="E56" s="151"/>
      <c r="F56" s="149">
        <v>2015</v>
      </c>
      <c r="G56" s="149">
        <v>2016</v>
      </c>
      <c r="H56" s="44">
        <v>2017</v>
      </c>
      <c r="I56" s="42">
        <v>2018</v>
      </c>
      <c r="J56" s="42">
        <v>2019</v>
      </c>
    </row>
    <row r="57" spans="2:10" ht="12.75">
      <c r="B57" s="152"/>
      <c r="C57" s="153"/>
      <c r="D57" s="153"/>
      <c r="E57" s="153"/>
      <c r="F57" s="153" t="s">
        <v>4</v>
      </c>
      <c r="G57" s="153" t="s">
        <v>4</v>
      </c>
      <c r="H57" s="45" t="s">
        <v>4</v>
      </c>
      <c r="I57" s="45" t="s">
        <v>4</v>
      </c>
      <c r="J57" s="45" t="s">
        <v>4</v>
      </c>
    </row>
    <row r="58" spans="2:10" ht="12.75">
      <c r="B58" s="154"/>
      <c r="C58" s="156"/>
      <c r="D58" s="156"/>
      <c r="E58" s="156"/>
      <c r="F58" s="156"/>
      <c r="G58" s="156"/>
      <c r="H58" s="156"/>
      <c r="I58" s="156"/>
      <c r="J58" s="156"/>
    </row>
    <row r="59" spans="2:10" ht="12.75">
      <c r="B59" s="157" t="s">
        <v>136</v>
      </c>
      <c r="C59" s="158"/>
      <c r="D59" s="158"/>
      <c r="E59" s="158"/>
      <c r="F59" s="158"/>
      <c r="G59" s="158"/>
      <c r="H59" s="158"/>
      <c r="I59" s="158"/>
      <c r="J59" s="158"/>
    </row>
    <row r="60" spans="2:10" ht="12.75">
      <c r="B60" s="157"/>
      <c r="C60" s="155"/>
      <c r="D60" s="155"/>
      <c r="E60" s="155"/>
      <c r="F60" s="155"/>
      <c r="G60" s="155"/>
      <c r="H60" s="155"/>
      <c r="I60" s="155"/>
      <c r="J60" s="155"/>
    </row>
    <row r="61" spans="2:10" ht="12.75">
      <c r="B61" s="157" t="s">
        <v>81</v>
      </c>
      <c r="C61" s="158"/>
      <c r="D61" s="158"/>
      <c r="E61" s="158"/>
      <c r="F61" s="158"/>
      <c r="G61" s="158"/>
      <c r="H61" s="158"/>
      <c r="I61" s="158"/>
      <c r="J61" s="158"/>
    </row>
    <row r="62" spans="2:10" ht="12.75">
      <c r="B62" s="157"/>
      <c r="C62" s="155"/>
      <c r="D62" s="155"/>
      <c r="E62" s="155"/>
      <c r="F62" s="155"/>
      <c r="G62" s="155"/>
      <c r="H62" s="155"/>
      <c r="I62" s="155"/>
      <c r="J62" s="155"/>
    </row>
    <row r="63" spans="2:10" ht="12.75">
      <c r="B63" s="157" t="s">
        <v>82</v>
      </c>
      <c r="C63" s="155"/>
      <c r="D63" s="155"/>
      <c r="E63" s="155"/>
      <c r="F63" s="155"/>
      <c r="G63" s="155"/>
      <c r="H63" s="155"/>
      <c r="I63" s="155"/>
      <c r="J63" s="155"/>
    </row>
    <row r="64" spans="2:10" ht="12.75">
      <c r="B64" s="157"/>
      <c r="C64" s="155"/>
      <c r="D64" s="155"/>
      <c r="E64" s="155"/>
      <c r="F64" s="155"/>
      <c r="G64" s="155"/>
      <c r="H64" s="155"/>
      <c r="I64" s="155"/>
      <c r="J64" s="155"/>
    </row>
    <row r="65" spans="2:10" ht="12.75">
      <c r="B65" s="159" t="s">
        <v>83</v>
      </c>
      <c r="C65" s="160"/>
      <c r="D65" s="160"/>
      <c r="E65" s="160"/>
      <c r="F65" s="160"/>
      <c r="G65" s="160"/>
      <c r="H65" s="160"/>
      <c r="I65" s="160"/>
      <c r="J65" s="160"/>
    </row>
  </sheetData>
  <mergeCells count="5">
    <mergeCell ref="C6:J6"/>
    <mergeCell ref="A6:B6"/>
    <mergeCell ref="A5:J5"/>
    <mergeCell ref="G7:H7"/>
    <mergeCell ref="I7:J7"/>
  </mergeCells>
  <phoneticPr fontId="0" type="noConversion"/>
  <pageMargins left="0.78740157480314965" right="0.78740157480314965" top="0.98425196850393704" bottom="0.98425196850393704" header="0.51181102362204722" footer="0.51181102362204722"/>
  <pageSetup paperSize="9" scale="50" orientation="landscape" r:id="rId1"/>
  <headerFooter alignWithMargins="0">
    <oddHeader>&amp;L&amp;12Wirtschaftsplan für Eigenbetriebe und Museumsstiftungen
2. Vermögensplan&amp;R&amp;12Blatt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Layout" topLeftCell="D7" zoomScale="70" zoomScaleNormal="75" zoomScalePageLayoutView="70" workbookViewId="0">
      <selection activeCell="I9" sqref="I9"/>
    </sheetView>
  </sheetViews>
  <sheetFormatPr baseColWidth="10" defaultColWidth="0.5703125" defaultRowHeight="14.25"/>
  <cols>
    <col min="1" max="1" width="5.5703125" style="200" customWidth="1"/>
    <col min="2" max="2" width="48.42578125" style="1" customWidth="1"/>
    <col min="3" max="10" width="12.7109375" style="1" customWidth="1"/>
    <col min="11" max="13" width="0.5703125" style="1"/>
    <col min="14" max="16384" width="0.5703125" style="200"/>
  </cols>
  <sheetData>
    <row r="1" spans="1:10">
      <c r="B1" s="16"/>
      <c r="C1" s="199"/>
      <c r="D1" s="199"/>
      <c r="E1" s="199"/>
      <c r="F1" s="199"/>
      <c r="G1" s="199"/>
      <c r="H1" s="199"/>
      <c r="I1" s="199"/>
      <c r="J1" s="199"/>
    </row>
    <row r="2" spans="1:10">
      <c r="B2" s="199"/>
      <c r="C2" s="199"/>
      <c r="D2" s="199"/>
      <c r="E2" s="199"/>
      <c r="F2" s="199"/>
      <c r="G2" s="199"/>
      <c r="H2" s="199"/>
      <c r="I2" s="199"/>
      <c r="J2" s="199"/>
    </row>
    <row r="3" spans="1:10">
      <c r="B3" s="17"/>
      <c r="C3" s="17"/>
      <c r="D3" s="17"/>
      <c r="E3" s="17"/>
      <c r="F3" s="17"/>
      <c r="G3" s="17"/>
      <c r="H3" s="17"/>
      <c r="I3" s="17"/>
      <c r="J3" s="17"/>
    </row>
    <row r="4" spans="1:10">
      <c r="B4" s="208"/>
      <c r="C4" s="208"/>
      <c r="D4" s="208"/>
      <c r="E4" s="208"/>
      <c r="F4" s="208"/>
      <c r="G4" s="208"/>
      <c r="H4" s="208"/>
      <c r="I4" s="208"/>
      <c r="J4" s="208"/>
    </row>
    <row r="5" spans="1:10" ht="18">
      <c r="A5" s="433" t="s">
        <v>47</v>
      </c>
      <c r="B5" s="434"/>
      <c r="C5" s="434"/>
      <c r="D5" s="434"/>
      <c r="E5" s="434"/>
      <c r="F5" s="434"/>
      <c r="G5" s="434"/>
      <c r="H5" s="434"/>
      <c r="I5" s="434"/>
      <c r="J5" s="435"/>
    </row>
    <row r="6" spans="1:10" customFormat="1" ht="15.75">
      <c r="A6" s="410" t="s">
        <v>145</v>
      </c>
      <c r="B6" s="416"/>
      <c r="C6" s="436" t="s">
        <v>159</v>
      </c>
      <c r="D6" s="437"/>
      <c r="E6" s="437"/>
      <c r="F6" s="437"/>
      <c r="G6" s="437"/>
      <c r="H6" s="437"/>
      <c r="I6" s="437"/>
      <c r="J6" s="438"/>
    </row>
    <row r="7" spans="1:10" customFormat="1" ht="15.75">
      <c r="A7" s="363"/>
      <c r="B7" s="253"/>
      <c r="C7" s="364"/>
      <c r="D7" s="364"/>
      <c r="E7" s="364"/>
      <c r="F7" s="364"/>
      <c r="G7" s="420" t="s">
        <v>143</v>
      </c>
      <c r="H7" s="421"/>
      <c r="I7" s="422" t="s">
        <v>142</v>
      </c>
      <c r="J7" s="421"/>
    </row>
    <row r="8" spans="1:10" ht="25.5">
      <c r="A8" s="239" t="s">
        <v>50</v>
      </c>
      <c r="B8" s="238" t="s">
        <v>123</v>
      </c>
      <c r="C8" s="207" t="s">
        <v>172</v>
      </c>
      <c r="D8" s="207" t="s">
        <v>183</v>
      </c>
      <c r="E8" s="207" t="s">
        <v>184</v>
      </c>
      <c r="F8" s="207" t="s">
        <v>173</v>
      </c>
      <c r="G8" s="207" t="s">
        <v>175</v>
      </c>
      <c r="H8" s="207" t="s">
        <v>176</v>
      </c>
      <c r="I8" s="207" t="s">
        <v>178</v>
      </c>
      <c r="J8" s="207" t="s">
        <v>177</v>
      </c>
    </row>
    <row r="9" spans="1:10" ht="22.5" customHeight="1">
      <c r="A9" s="240">
        <v>1</v>
      </c>
      <c r="B9" s="206" t="s">
        <v>156</v>
      </c>
      <c r="C9" s="269">
        <v>152.94999999999999</v>
      </c>
      <c r="D9" s="269">
        <v>157</v>
      </c>
      <c r="E9" s="269">
        <v>199.51</v>
      </c>
      <c r="F9" s="269">
        <v>165.39</v>
      </c>
      <c r="G9" s="269">
        <f>299.42-93</f>
        <v>206.42000000000002</v>
      </c>
      <c r="H9" s="269">
        <f>SUM(H27-92)</f>
        <v>209.63</v>
      </c>
      <c r="I9" s="269">
        <f>SUM(I27-91)</f>
        <v>210.54169999999999</v>
      </c>
      <c r="J9" s="269">
        <f>SUM(J27-90)</f>
        <v>211.44339999999994</v>
      </c>
    </row>
    <row r="10" spans="1:10" ht="22.5" customHeight="1">
      <c r="A10" s="240">
        <v>2</v>
      </c>
      <c r="B10" s="206" t="s">
        <v>157</v>
      </c>
      <c r="C10" s="269">
        <v>91.65</v>
      </c>
      <c r="D10" s="269">
        <v>89.47</v>
      </c>
      <c r="E10" s="269">
        <v>94</v>
      </c>
      <c r="F10" s="269">
        <v>94</v>
      </c>
      <c r="G10" s="269">
        <v>93</v>
      </c>
      <c r="H10" s="269">
        <v>92</v>
      </c>
      <c r="I10" s="269">
        <v>91</v>
      </c>
      <c r="J10" s="269">
        <v>90</v>
      </c>
    </row>
    <row r="11" spans="1:10" ht="22.5" customHeight="1">
      <c r="A11" s="240">
        <v>3</v>
      </c>
      <c r="B11" s="205"/>
      <c r="C11" s="269"/>
      <c r="D11" s="269"/>
      <c r="E11" s="269"/>
      <c r="F11" s="269"/>
      <c r="G11" s="269"/>
      <c r="H11" s="269"/>
      <c r="I11" s="269"/>
      <c r="J11" s="269"/>
    </row>
    <row r="12" spans="1:10" ht="22.5" customHeight="1">
      <c r="A12" s="240">
        <v>4</v>
      </c>
      <c r="B12" s="209" t="s">
        <v>122</v>
      </c>
      <c r="C12" s="270">
        <f>SUM(C9:C11)</f>
        <v>244.6</v>
      </c>
      <c r="D12" s="270">
        <f t="shared" ref="D12:J12" si="0">SUM(D9:D11)</f>
        <v>246.47</v>
      </c>
      <c r="E12" s="270">
        <f t="shared" si="0"/>
        <v>293.51</v>
      </c>
      <c r="F12" s="270">
        <f t="shared" si="0"/>
        <v>259.39</v>
      </c>
      <c r="G12" s="270">
        <f t="shared" si="0"/>
        <v>299.42</v>
      </c>
      <c r="H12" s="270">
        <f t="shared" si="0"/>
        <v>301.63</v>
      </c>
      <c r="I12" s="270">
        <f t="shared" si="0"/>
        <v>301.54169999999999</v>
      </c>
      <c r="J12" s="270">
        <f t="shared" si="0"/>
        <v>301.44339999999994</v>
      </c>
    </row>
    <row r="13" spans="1:10" ht="22.5" customHeight="1">
      <c r="A13" s="240">
        <v>5</v>
      </c>
      <c r="B13" s="214" t="s">
        <v>132</v>
      </c>
      <c r="C13" s="271">
        <v>0</v>
      </c>
      <c r="D13" s="271">
        <v>0</v>
      </c>
      <c r="E13" s="271">
        <v>0</v>
      </c>
      <c r="F13" s="271">
        <v>0</v>
      </c>
      <c r="G13" s="271">
        <v>0</v>
      </c>
      <c r="H13" s="271">
        <v>0</v>
      </c>
      <c r="I13" s="271">
        <v>0</v>
      </c>
      <c r="J13" s="271">
        <v>0</v>
      </c>
    </row>
    <row r="14" spans="1:10" ht="22.5" customHeight="1">
      <c r="A14" s="240">
        <v>6</v>
      </c>
      <c r="B14" s="215" t="s">
        <v>128</v>
      </c>
      <c r="C14" s="445"/>
      <c r="D14" s="432"/>
      <c r="E14" s="445"/>
      <c r="F14" s="432"/>
      <c r="G14" s="445"/>
      <c r="H14" s="432"/>
      <c r="I14" s="432"/>
      <c r="J14" s="445"/>
    </row>
    <row r="15" spans="1:10" ht="22.5" customHeight="1">
      <c r="A15" s="240">
        <v>7</v>
      </c>
      <c r="B15" s="215" t="s">
        <v>129</v>
      </c>
      <c r="C15" s="445"/>
      <c r="D15" s="432"/>
      <c r="E15" s="445"/>
      <c r="F15" s="432"/>
      <c r="G15" s="445"/>
      <c r="H15" s="432"/>
      <c r="I15" s="432"/>
      <c r="J15" s="446"/>
    </row>
    <row r="16" spans="1:10" ht="22.5" customHeight="1">
      <c r="A16" s="240">
        <v>8</v>
      </c>
      <c r="B16" s="213" t="s">
        <v>133</v>
      </c>
      <c r="C16" s="272"/>
      <c r="D16" s="272"/>
      <c r="E16" s="272"/>
      <c r="F16" s="272"/>
      <c r="G16" s="272"/>
      <c r="H16" s="272"/>
      <c r="I16" s="272"/>
      <c r="J16" s="272"/>
    </row>
    <row r="17" spans="1:12" ht="22.5" customHeight="1">
      <c r="A17" s="240">
        <v>9</v>
      </c>
      <c r="B17" s="206" t="s">
        <v>127</v>
      </c>
      <c r="C17" s="269">
        <v>162.07</v>
      </c>
      <c r="D17" s="269">
        <v>162.22999999999999</v>
      </c>
      <c r="E17" s="269"/>
      <c r="F17" s="423"/>
      <c r="G17" s="424"/>
      <c r="H17" s="424"/>
      <c r="I17" s="424"/>
      <c r="J17" s="425"/>
    </row>
    <row r="18" spans="1:12" ht="22.5" customHeight="1">
      <c r="A18" s="240">
        <v>10</v>
      </c>
      <c r="B18" s="206" t="s">
        <v>126</v>
      </c>
      <c r="C18" s="269">
        <v>82.53</v>
      </c>
      <c r="D18" s="269">
        <v>84.24</v>
      </c>
      <c r="E18" s="269"/>
      <c r="F18" s="426"/>
      <c r="G18" s="427"/>
      <c r="H18" s="427"/>
      <c r="I18" s="427"/>
      <c r="J18" s="428"/>
    </row>
    <row r="19" spans="1:12" ht="22.5" customHeight="1">
      <c r="A19" s="240">
        <v>11</v>
      </c>
      <c r="B19" s="206" t="s">
        <v>134</v>
      </c>
      <c r="C19" s="269">
        <v>21.51</v>
      </c>
      <c r="D19" s="269">
        <v>21.52</v>
      </c>
      <c r="E19" s="269"/>
      <c r="F19" s="426"/>
      <c r="G19" s="427"/>
      <c r="H19" s="427"/>
      <c r="I19" s="427"/>
      <c r="J19" s="428"/>
    </row>
    <row r="20" spans="1:12" ht="22.5" customHeight="1">
      <c r="A20" s="240">
        <v>12</v>
      </c>
      <c r="B20" s="206" t="s">
        <v>118</v>
      </c>
      <c r="C20" s="269">
        <v>91.65</v>
      </c>
      <c r="D20" s="269">
        <v>89.47</v>
      </c>
      <c r="E20" s="269">
        <v>94</v>
      </c>
      <c r="F20" s="429"/>
      <c r="G20" s="430"/>
      <c r="H20" s="430"/>
      <c r="I20" s="430"/>
      <c r="J20" s="431"/>
    </row>
    <row r="21" spans="1:12" ht="22.5" customHeight="1">
      <c r="A21" s="240">
        <v>13</v>
      </c>
      <c r="B21" s="205" t="s">
        <v>130</v>
      </c>
      <c r="C21" s="347" t="s">
        <v>182</v>
      </c>
      <c r="D21" s="347"/>
      <c r="E21" s="348"/>
      <c r="F21" s="348"/>
      <c r="G21" s="348"/>
      <c r="H21" s="348"/>
      <c r="I21" s="273"/>
      <c r="J21" s="273"/>
    </row>
    <row r="22" spans="1:12" ht="22.5" customHeight="1">
      <c r="A22" s="240">
        <v>14</v>
      </c>
      <c r="B22" s="206" t="s">
        <v>158</v>
      </c>
      <c r="C22" s="274"/>
      <c r="D22" s="274"/>
      <c r="E22" s="269"/>
      <c r="F22" s="269"/>
      <c r="G22" s="269"/>
      <c r="H22" s="269"/>
      <c r="I22" s="269"/>
      <c r="J22" s="269"/>
    </row>
    <row r="23" spans="1:12" ht="22.5" customHeight="1">
      <c r="A23" s="240">
        <v>15</v>
      </c>
      <c r="B23" s="206" t="s">
        <v>160</v>
      </c>
      <c r="C23" s="269"/>
      <c r="D23" s="269"/>
      <c r="E23" s="269">
        <f>112.69+70.85</f>
        <v>183.54</v>
      </c>
      <c r="F23" s="269">
        <v>180.5</v>
      </c>
      <c r="G23" s="269">
        <f>111.63+76.35</f>
        <v>187.98</v>
      </c>
      <c r="H23" s="269">
        <f>109.83+76.35</f>
        <v>186.18</v>
      </c>
      <c r="I23" s="269">
        <f>109.83-(109.83*1%)+76.35</f>
        <v>185.08170000000001</v>
      </c>
      <c r="J23" s="269">
        <f>109.83-(109.83*2%)+76.35</f>
        <v>183.98339999999999</v>
      </c>
    </row>
    <row r="24" spans="1:12" ht="22.5" customHeight="1">
      <c r="A24" s="240">
        <v>16</v>
      </c>
      <c r="B24" s="213" t="s">
        <v>205</v>
      </c>
      <c r="C24" s="269"/>
      <c r="D24" s="269"/>
      <c r="E24" s="269">
        <v>24.25</v>
      </c>
      <c r="F24" s="269">
        <v>0</v>
      </c>
      <c r="G24" s="269">
        <v>0</v>
      </c>
      <c r="H24" s="269">
        <v>0</v>
      </c>
      <c r="I24" s="269">
        <v>0</v>
      </c>
      <c r="J24" s="269">
        <f>SUM(I24/Erfolgsplan!L25*Erfolgsplan!M25)</f>
        <v>0</v>
      </c>
    </row>
    <row r="25" spans="1:12" ht="22.5" customHeight="1">
      <c r="A25" s="240"/>
      <c r="B25" s="206" t="s">
        <v>162</v>
      </c>
      <c r="C25" s="269"/>
      <c r="D25" s="269"/>
      <c r="E25" s="269">
        <v>58.87</v>
      </c>
      <c r="F25" s="269">
        <v>53.7</v>
      </c>
      <c r="G25" s="269">
        <f>82.24+1.25</f>
        <v>83.49</v>
      </c>
      <c r="H25" s="269">
        <f>85.24+1.25</f>
        <v>86.49</v>
      </c>
      <c r="I25" s="269">
        <f>85.2+1.3</f>
        <v>86.5</v>
      </c>
      <c r="J25" s="269">
        <f>85.2+1.3</f>
        <v>86.5</v>
      </c>
    </row>
    <row r="26" spans="1:12" ht="22.5" customHeight="1">
      <c r="A26" s="240"/>
      <c r="B26" s="205" t="s">
        <v>161</v>
      </c>
      <c r="C26" s="269"/>
      <c r="D26" s="269"/>
      <c r="E26" s="273">
        <v>26.86</v>
      </c>
      <c r="F26" s="273">
        <v>25.2</v>
      </c>
      <c r="G26" s="273">
        <v>27.96</v>
      </c>
      <c r="H26" s="273">
        <v>28.96</v>
      </c>
      <c r="I26" s="273">
        <f>SUM(H26+1)</f>
        <v>29.96</v>
      </c>
      <c r="J26" s="273">
        <f>SUM(I26+1)</f>
        <v>30.96</v>
      </c>
    </row>
    <row r="27" spans="1:12" ht="22.5" customHeight="1">
      <c r="A27" s="240"/>
      <c r="B27" s="204" t="s">
        <v>119</v>
      </c>
      <c r="C27" s="275">
        <f>SUM(C22:C26)</f>
        <v>0</v>
      </c>
      <c r="D27" s="275">
        <f>SUM(D22:D26)</f>
        <v>0</v>
      </c>
      <c r="E27" s="275">
        <f t="shared" ref="E27:J27" si="1">SUM(E22:E26)</f>
        <v>293.52</v>
      </c>
      <c r="F27" s="275">
        <f t="shared" si="1"/>
        <v>259.39999999999998</v>
      </c>
      <c r="G27" s="275">
        <f t="shared" si="1"/>
        <v>299.42999999999995</v>
      </c>
      <c r="H27" s="275">
        <f t="shared" si="1"/>
        <v>301.63</v>
      </c>
      <c r="I27" s="275">
        <f t="shared" si="1"/>
        <v>301.54169999999999</v>
      </c>
      <c r="J27" s="275">
        <f t="shared" si="1"/>
        <v>301.44339999999994</v>
      </c>
    </row>
    <row r="28" spans="1:12" ht="22.5" customHeight="1" thickBot="1">
      <c r="A28" s="240">
        <v>18</v>
      </c>
      <c r="B28" s="203" t="s">
        <v>120</v>
      </c>
      <c r="C28" s="276">
        <f>SUM(C23)</f>
        <v>0</v>
      </c>
      <c r="D28" s="276">
        <f>SUM(D23)</f>
        <v>0</v>
      </c>
      <c r="E28" s="276">
        <f>SUM(E23)</f>
        <v>183.54</v>
      </c>
      <c r="F28" s="276">
        <f t="shared" ref="F28:J28" si="2">SUM(F23)</f>
        <v>180.5</v>
      </c>
      <c r="G28" s="276">
        <f t="shared" si="2"/>
        <v>187.98</v>
      </c>
      <c r="H28" s="276">
        <f t="shared" si="2"/>
        <v>186.18</v>
      </c>
      <c r="I28" s="276">
        <f t="shared" si="2"/>
        <v>185.08170000000001</v>
      </c>
      <c r="J28" s="276">
        <f t="shared" si="2"/>
        <v>183.98339999999999</v>
      </c>
    </row>
    <row r="29" spans="1:12" ht="22.5" customHeight="1">
      <c r="A29" s="241">
        <v>19</v>
      </c>
      <c r="B29" s="202"/>
      <c r="C29" s="202"/>
      <c r="D29" s="202"/>
      <c r="E29" s="202"/>
      <c r="F29" s="202"/>
      <c r="G29" s="202"/>
      <c r="H29" s="202"/>
      <c r="I29" s="202"/>
      <c r="J29" s="202"/>
    </row>
    <row r="30" spans="1:12">
      <c r="B30" s="443" t="s">
        <v>121</v>
      </c>
      <c r="C30" s="444"/>
      <c r="D30" s="444"/>
      <c r="E30" s="444"/>
      <c r="F30" s="444"/>
      <c r="G30" s="444"/>
      <c r="H30" s="444"/>
      <c r="I30" s="444"/>
      <c r="J30" s="444"/>
    </row>
    <row r="31" spans="1:12">
      <c r="B31" s="441" t="s">
        <v>137</v>
      </c>
      <c r="C31" s="442"/>
      <c r="D31" s="442"/>
      <c r="E31" s="442"/>
      <c r="F31" s="442"/>
      <c r="G31" s="442"/>
      <c r="H31" s="442"/>
      <c r="I31" s="442"/>
      <c r="J31" s="442"/>
      <c r="K31" s="2"/>
      <c r="L31" s="2"/>
    </row>
    <row r="32" spans="1:12">
      <c r="B32" s="442"/>
      <c r="C32" s="442"/>
      <c r="D32" s="442"/>
      <c r="E32" s="442"/>
      <c r="F32" s="442"/>
      <c r="G32" s="442"/>
      <c r="H32" s="442"/>
      <c r="I32" s="442"/>
      <c r="J32" s="442"/>
    </row>
    <row r="33" spans="2:10">
      <c r="B33" s="353"/>
      <c r="C33" s="353"/>
      <c r="D33" s="353"/>
      <c r="E33" s="353"/>
      <c r="F33" s="353"/>
      <c r="G33" s="353"/>
      <c r="H33" s="353"/>
      <c r="I33" s="353"/>
      <c r="J33" s="353"/>
    </row>
    <row r="34" spans="2:10">
      <c r="B34" s="439" t="s">
        <v>204</v>
      </c>
      <c r="C34" s="440"/>
      <c r="D34" s="440"/>
      <c r="E34" s="440"/>
    </row>
    <row r="38" spans="2:10">
      <c r="B38" s="201"/>
    </row>
  </sheetData>
  <mergeCells count="17">
    <mergeCell ref="B34:E34"/>
    <mergeCell ref="B31:J32"/>
    <mergeCell ref="B30:J30"/>
    <mergeCell ref="C14:C15"/>
    <mergeCell ref="E14:E15"/>
    <mergeCell ref="G14:G15"/>
    <mergeCell ref="J14:J15"/>
    <mergeCell ref="H14:H15"/>
    <mergeCell ref="I14:I15"/>
    <mergeCell ref="D14:D15"/>
    <mergeCell ref="I7:J7"/>
    <mergeCell ref="F17:J20"/>
    <mergeCell ref="F14:F15"/>
    <mergeCell ref="A5:J5"/>
    <mergeCell ref="A6:B6"/>
    <mergeCell ref="C6:J6"/>
    <mergeCell ref="G7:H7"/>
  </mergeCells>
  <pageMargins left="0.78740157480314965" right="0.98425196850393704" top="0.98425196850393704" bottom="0.98425196850393704" header="0.51181102362204722" footer="0.51181102362204722"/>
  <pageSetup paperSize="9" scale="69" orientation="landscape" r:id="rId1"/>
  <headerFooter alignWithMargins="0">
    <oddHeader>&amp;LWirtschaftsplan für Eigenbetriebe und Museumsstiftungen
3. Personalplan&amp;RBlatt 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Layout" topLeftCell="F13" zoomScale="86" zoomScaleNormal="100" zoomScalePageLayoutView="86" workbookViewId="0">
      <selection activeCell="H40" sqref="H40:I40"/>
    </sheetView>
  </sheetViews>
  <sheetFormatPr baseColWidth="10" defaultColWidth="5" defaultRowHeight="12.75"/>
  <cols>
    <col min="1" max="1" width="4.28515625" customWidth="1"/>
    <col min="2" max="2" width="48.85546875" customWidth="1"/>
    <col min="3" max="3" width="33.42578125" customWidth="1"/>
    <col min="4" max="4" width="16.42578125" customWidth="1"/>
    <col min="5" max="5" width="9.28515625" customWidth="1"/>
    <col min="6" max="13" width="12.7109375" customWidth="1"/>
  </cols>
  <sheetData>
    <row r="1" spans="1:14">
      <c r="A1" s="71"/>
      <c r="B1" s="72"/>
      <c r="C1" s="73"/>
      <c r="D1" s="73"/>
      <c r="E1" s="73"/>
      <c r="F1" s="74"/>
      <c r="G1" s="74"/>
      <c r="H1" s="74"/>
      <c r="I1" s="72"/>
      <c r="J1" s="72"/>
      <c r="K1" s="72"/>
      <c r="L1" s="72"/>
      <c r="M1" s="72"/>
    </row>
    <row r="2" spans="1:14">
      <c r="A2" s="71"/>
      <c r="B2" s="72"/>
      <c r="C2" s="73"/>
      <c r="D2" s="73"/>
      <c r="E2" s="73"/>
      <c r="F2" s="74"/>
      <c r="G2" s="74"/>
      <c r="H2" s="74"/>
      <c r="I2" s="72"/>
      <c r="J2" s="72"/>
      <c r="K2" s="72"/>
      <c r="L2" s="72"/>
      <c r="M2" s="72"/>
    </row>
    <row r="3" spans="1:14" ht="18">
      <c r="A3" s="75"/>
      <c r="B3" s="72"/>
      <c r="C3" s="73"/>
      <c r="D3" s="73"/>
      <c r="E3" s="73"/>
      <c r="F3" s="74"/>
      <c r="G3" s="74"/>
      <c r="H3" s="74"/>
      <c r="I3" s="72"/>
      <c r="J3" s="72"/>
      <c r="K3" s="72"/>
      <c r="L3" s="72"/>
      <c r="M3" s="72"/>
    </row>
    <row r="4" spans="1:14" ht="18">
      <c r="A4" s="447" t="s">
        <v>125</v>
      </c>
      <c r="B4" s="448"/>
      <c r="C4" s="448"/>
      <c r="D4" s="448"/>
      <c r="E4" s="448"/>
      <c r="F4" s="448"/>
      <c r="G4" s="448"/>
      <c r="H4" s="448"/>
      <c r="I4" s="448"/>
      <c r="J4" s="448"/>
      <c r="K4" s="448"/>
      <c r="L4" s="448"/>
      <c r="M4" s="449"/>
    </row>
    <row r="5" spans="1:14" ht="18" customHeight="1">
      <c r="A5" s="454" t="s">
        <v>145</v>
      </c>
      <c r="B5" s="455"/>
      <c r="C5" s="414" t="s">
        <v>159</v>
      </c>
      <c r="D5" s="414"/>
      <c r="E5" s="414"/>
      <c r="F5" s="414"/>
      <c r="G5" s="414"/>
      <c r="H5" s="414"/>
      <c r="I5" s="414"/>
      <c r="J5" s="414"/>
      <c r="K5" s="414"/>
      <c r="L5" s="414"/>
      <c r="M5" s="415"/>
    </row>
    <row r="6" spans="1:14" ht="18" customHeight="1">
      <c r="A6" s="256"/>
      <c r="B6" s="257"/>
      <c r="C6" s="252"/>
      <c r="D6" s="252"/>
      <c r="E6" s="252"/>
      <c r="F6" s="252"/>
      <c r="G6" s="252"/>
      <c r="H6" s="252"/>
      <c r="I6" s="252"/>
      <c r="J6" s="420" t="s">
        <v>143</v>
      </c>
      <c r="K6" s="421"/>
      <c r="L6" s="422" t="s">
        <v>142</v>
      </c>
      <c r="M6" s="421"/>
    </row>
    <row r="7" spans="1:14" ht="25.5">
      <c r="A7" s="76" t="s">
        <v>50</v>
      </c>
      <c r="B7" s="77" t="s">
        <v>29</v>
      </c>
      <c r="C7" s="78" t="s">
        <v>51</v>
      </c>
      <c r="D7" s="450" t="s">
        <v>131</v>
      </c>
      <c r="E7" s="450" t="s">
        <v>52</v>
      </c>
      <c r="F7" s="342" t="s">
        <v>153</v>
      </c>
      <c r="G7" s="342" t="s">
        <v>191</v>
      </c>
      <c r="H7" s="135" t="s">
        <v>27</v>
      </c>
      <c r="I7" s="135" t="s">
        <v>152</v>
      </c>
      <c r="J7" s="342" t="s">
        <v>179</v>
      </c>
      <c r="K7" s="342" t="s">
        <v>8</v>
      </c>
      <c r="L7" s="210" t="s">
        <v>9</v>
      </c>
      <c r="M7" s="342" t="s">
        <v>180</v>
      </c>
      <c r="N7" s="136"/>
    </row>
    <row r="8" spans="1:14">
      <c r="A8" s="79"/>
      <c r="B8" s="80"/>
      <c r="C8" s="80"/>
      <c r="D8" s="452"/>
      <c r="E8" s="451"/>
      <c r="F8" s="254">
        <v>2015</v>
      </c>
      <c r="G8" s="254">
        <v>2016</v>
      </c>
      <c r="H8" s="133">
        <v>2017</v>
      </c>
      <c r="I8" s="133">
        <v>2017</v>
      </c>
      <c r="J8" s="343">
        <v>2018</v>
      </c>
      <c r="K8" s="343">
        <v>2019</v>
      </c>
      <c r="L8" s="343">
        <v>2020</v>
      </c>
      <c r="M8" s="343">
        <v>2021</v>
      </c>
    </row>
    <row r="9" spans="1:14" ht="26.25" customHeight="1">
      <c r="A9" s="81"/>
      <c r="B9" s="82"/>
      <c r="C9" s="82"/>
      <c r="D9" s="453"/>
      <c r="E9" s="82" t="s">
        <v>53</v>
      </c>
      <c r="F9" s="82" t="s">
        <v>74</v>
      </c>
      <c r="G9" s="82" t="s">
        <v>74</v>
      </c>
      <c r="H9" s="134" t="s">
        <v>74</v>
      </c>
      <c r="I9" s="134" t="s">
        <v>74</v>
      </c>
      <c r="J9" s="137" t="s">
        <v>74</v>
      </c>
      <c r="K9" s="137" t="s">
        <v>74</v>
      </c>
      <c r="L9" s="137" t="s">
        <v>74</v>
      </c>
      <c r="M9" s="137" t="s">
        <v>74</v>
      </c>
    </row>
    <row r="10" spans="1:14">
      <c r="A10" s="83">
        <v>1</v>
      </c>
      <c r="B10" s="84" t="s">
        <v>54</v>
      </c>
      <c r="C10" s="85"/>
      <c r="D10" s="85"/>
      <c r="E10" s="86"/>
      <c r="F10" s="87"/>
      <c r="G10" s="87"/>
      <c r="H10" s="87"/>
      <c r="I10" s="88"/>
      <c r="J10" s="88"/>
      <c r="K10" s="89"/>
      <c r="L10" s="87"/>
      <c r="M10" s="88"/>
    </row>
    <row r="11" spans="1:14">
      <c r="A11" s="83"/>
      <c r="B11" s="90" t="s">
        <v>70</v>
      </c>
      <c r="C11" s="131" t="s">
        <v>66</v>
      </c>
      <c r="D11" s="131"/>
      <c r="E11" s="86"/>
      <c r="F11" s="98"/>
      <c r="G11" s="98"/>
      <c r="H11" s="98"/>
      <c r="I11" s="92"/>
      <c r="J11" s="88"/>
      <c r="K11" s="89"/>
      <c r="L11" s="87"/>
      <c r="M11" s="88"/>
    </row>
    <row r="12" spans="1:14">
      <c r="A12" s="83"/>
      <c r="B12" s="84"/>
      <c r="C12" s="131" t="s">
        <v>67</v>
      </c>
      <c r="D12" s="131"/>
      <c r="E12" s="86"/>
      <c r="F12" s="98"/>
      <c r="G12" s="98"/>
      <c r="H12" s="98"/>
      <c r="I12" s="92"/>
      <c r="J12" s="88"/>
      <c r="K12" s="89"/>
      <c r="L12" s="87"/>
      <c r="M12" s="88"/>
    </row>
    <row r="13" spans="1:14">
      <c r="A13" s="83"/>
      <c r="B13" s="90" t="s">
        <v>72</v>
      </c>
      <c r="C13" s="140" t="s">
        <v>72</v>
      </c>
      <c r="D13" s="140"/>
      <c r="E13" s="86"/>
      <c r="F13" s="98"/>
      <c r="G13" s="98"/>
      <c r="H13" s="98"/>
      <c r="I13" s="92"/>
      <c r="J13" s="88"/>
      <c r="K13" s="89"/>
      <c r="L13" s="87"/>
      <c r="M13" s="88"/>
      <c r="N13" s="250"/>
    </row>
    <row r="14" spans="1:14">
      <c r="A14" s="83"/>
      <c r="B14" s="90" t="s">
        <v>71</v>
      </c>
      <c r="C14" s="131" t="s">
        <v>66</v>
      </c>
      <c r="D14" s="131"/>
      <c r="E14" s="86"/>
      <c r="F14" s="98"/>
      <c r="G14" s="98"/>
      <c r="H14" s="98"/>
      <c r="I14" s="92"/>
      <c r="J14" s="88"/>
      <c r="K14" s="89"/>
      <c r="L14" s="87"/>
      <c r="M14" s="88"/>
      <c r="N14" s="250"/>
    </row>
    <row r="15" spans="1:14">
      <c r="A15" s="83"/>
      <c r="B15" s="84"/>
      <c r="C15" s="131" t="s">
        <v>67</v>
      </c>
      <c r="D15" s="131"/>
      <c r="E15" s="86"/>
      <c r="F15" s="98"/>
      <c r="G15" s="98"/>
      <c r="H15" s="87"/>
      <c r="I15" s="92"/>
      <c r="J15" s="88"/>
      <c r="K15" s="89"/>
      <c r="L15" s="87"/>
      <c r="M15" s="88"/>
      <c r="N15" s="250"/>
    </row>
    <row r="16" spans="1:14">
      <c r="A16" s="83"/>
      <c r="B16" s="90" t="s">
        <v>72</v>
      </c>
      <c r="C16" s="85" t="s">
        <v>55</v>
      </c>
      <c r="D16" s="85"/>
      <c r="E16" s="86"/>
      <c r="F16" s="91"/>
      <c r="G16" s="91"/>
      <c r="H16" s="102"/>
      <c r="I16" s="92"/>
      <c r="J16" s="88"/>
      <c r="K16" s="89"/>
      <c r="L16" s="87"/>
      <c r="M16" s="88"/>
      <c r="N16" s="250"/>
    </row>
    <row r="17" spans="1:14">
      <c r="A17" s="83"/>
      <c r="B17" s="93" t="s">
        <v>56</v>
      </c>
      <c r="C17" s="94"/>
      <c r="D17" s="94"/>
      <c r="E17" s="95"/>
      <c r="F17" s="96">
        <v>81</v>
      </c>
      <c r="G17" s="305">
        <v>4</v>
      </c>
      <c r="H17" s="306">
        <v>29</v>
      </c>
      <c r="I17" s="305">
        <v>46</v>
      </c>
      <c r="J17" s="305">
        <v>0</v>
      </c>
      <c r="K17" s="307">
        <f>SUM(J17*K46)</f>
        <v>0</v>
      </c>
      <c r="L17" s="306">
        <f>SUM(K17*L46)</f>
        <v>0</v>
      </c>
      <c r="M17" s="305">
        <f>SUM(L17*M46)</f>
        <v>0</v>
      </c>
      <c r="N17" s="250"/>
    </row>
    <row r="18" spans="1:14">
      <c r="A18" s="83"/>
      <c r="B18" s="90"/>
      <c r="C18" s="85"/>
      <c r="D18" s="85"/>
      <c r="E18" s="86"/>
      <c r="F18" s="98"/>
      <c r="G18" s="308"/>
      <c r="H18" s="309"/>
      <c r="I18" s="310"/>
      <c r="J18" s="311"/>
      <c r="K18" s="312"/>
      <c r="L18" s="309"/>
      <c r="M18" s="311"/>
      <c r="N18" s="250"/>
    </row>
    <row r="19" spans="1:14">
      <c r="A19" s="83">
        <v>2</v>
      </c>
      <c r="B19" s="84" t="s">
        <v>57</v>
      </c>
      <c r="C19" s="85"/>
      <c r="D19" s="85"/>
      <c r="E19" s="86"/>
      <c r="F19" s="98"/>
      <c r="G19" s="308"/>
      <c r="H19" s="309"/>
      <c r="I19" s="310"/>
      <c r="J19" s="311"/>
      <c r="K19" s="312"/>
      <c r="L19" s="309"/>
      <c r="M19" s="311"/>
      <c r="N19" s="250"/>
    </row>
    <row r="20" spans="1:14">
      <c r="A20" s="83"/>
      <c r="B20" s="90" t="s">
        <v>170</v>
      </c>
      <c r="C20" s="131" t="s">
        <v>66</v>
      </c>
      <c r="D20" s="131"/>
      <c r="E20" s="86"/>
      <c r="F20" s="98"/>
      <c r="G20" s="308"/>
      <c r="H20" s="309"/>
      <c r="I20" s="310"/>
      <c r="J20" s="311"/>
      <c r="K20" s="312"/>
      <c r="L20" s="309"/>
      <c r="M20" s="311"/>
      <c r="N20" s="250"/>
    </row>
    <row r="21" spans="1:14">
      <c r="A21" s="83"/>
      <c r="B21" s="84"/>
      <c r="C21" s="131" t="s">
        <v>67</v>
      </c>
      <c r="D21" s="131"/>
      <c r="E21" s="86"/>
      <c r="F21" s="87"/>
      <c r="G21" s="309"/>
      <c r="H21" s="309"/>
      <c r="I21" s="310"/>
      <c r="J21" s="311"/>
      <c r="K21" s="312"/>
      <c r="L21" s="309"/>
      <c r="M21" s="311"/>
      <c r="N21" s="250"/>
    </row>
    <row r="22" spans="1:14">
      <c r="A22" s="83"/>
      <c r="B22" s="99" t="s">
        <v>72</v>
      </c>
      <c r="C22" s="100" t="s">
        <v>55</v>
      </c>
      <c r="D22" s="100"/>
      <c r="E22" s="101"/>
      <c r="F22" s="102"/>
      <c r="G22" s="313"/>
      <c r="H22" s="313"/>
      <c r="I22" s="310"/>
      <c r="J22" s="311"/>
      <c r="K22" s="314"/>
      <c r="L22" s="309"/>
      <c r="M22" s="309"/>
      <c r="N22" s="250"/>
    </row>
    <row r="23" spans="1:14">
      <c r="A23" s="104"/>
      <c r="B23" s="105" t="s">
        <v>58</v>
      </c>
      <c r="C23" s="95"/>
      <c r="D23" s="106"/>
      <c r="E23" s="106"/>
      <c r="F23" s="97">
        <v>0</v>
      </c>
      <c r="G23" s="306">
        <v>0</v>
      </c>
      <c r="H23" s="306">
        <v>0</v>
      </c>
      <c r="I23" s="307">
        <f>SUM(I21)</f>
        <v>0</v>
      </c>
      <c r="J23" s="315">
        <v>0</v>
      </c>
      <c r="K23" s="315">
        <v>0</v>
      </c>
      <c r="L23" s="306">
        <v>0</v>
      </c>
      <c r="M23" s="306">
        <v>0</v>
      </c>
      <c r="N23" s="250"/>
    </row>
    <row r="24" spans="1:14" s="112" customFormat="1">
      <c r="A24" s="104"/>
      <c r="B24" s="108"/>
      <c r="C24" s="109"/>
      <c r="D24" s="216"/>
      <c r="E24" s="110"/>
      <c r="F24" s="111"/>
      <c r="G24" s="316"/>
      <c r="H24" s="316"/>
      <c r="I24" s="317"/>
      <c r="J24" s="318"/>
      <c r="K24" s="318"/>
      <c r="L24" s="316"/>
      <c r="M24" s="316"/>
      <c r="N24" s="251"/>
    </row>
    <row r="25" spans="1:14">
      <c r="A25" s="113">
        <v>3</v>
      </c>
      <c r="B25" s="114" t="s">
        <v>59</v>
      </c>
      <c r="C25" s="115"/>
      <c r="D25" s="115"/>
      <c r="E25" s="86"/>
      <c r="F25" s="87"/>
      <c r="G25" s="309"/>
      <c r="H25" s="309"/>
      <c r="I25" s="308"/>
      <c r="J25" s="309"/>
      <c r="K25" s="314"/>
      <c r="L25" s="309"/>
      <c r="M25" s="309"/>
      <c r="N25" s="250"/>
    </row>
    <row r="26" spans="1:14">
      <c r="A26" s="113"/>
      <c r="B26" s="116" t="s">
        <v>73</v>
      </c>
      <c r="C26" s="132" t="s">
        <v>66</v>
      </c>
      <c r="D26" s="132"/>
      <c r="E26" s="86"/>
      <c r="F26" s="87"/>
      <c r="G26" s="309"/>
      <c r="H26" s="309"/>
      <c r="I26" s="308"/>
      <c r="J26" s="309"/>
      <c r="K26" s="314"/>
      <c r="L26" s="309"/>
      <c r="M26" s="309"/>
      <c r="N26" s="250"/>
    </row>
    <row r="27" spans="1:14">
      <c r="A27" s="113"/>
      <c r="B27" s="114"/>
      <c r="C27" s="132" t="s">
        <v>67</v>
      </c>
      <c r="D27" s="132"/>
      <c r="E27" s="86"/>
      <c r="F27" s="87"/>
      <c r="G27" s="309"/>
      <c r="H27" s="309"/>
      <c r="I27" s="308"/>
      <c r="J27" s="309"/>
      <c r="K27" s="314"/>
      <c r="L27" s="309"/>
      <c r="M27" s="309"/>
      <c r="N27" s="250"/>
    </row>
    <row r="28" spans="1:14">
      <c r="A28" s="113"/>
      <c r="B28" s="116" t="s">
        <v>72</v>
      </c>
      <c r="C28" s="117" t="s">
        <v>55</v>
      </c>
      <c r="D28" s="217"/>
      <c r="E28" s="118"/>
      <c r="F28" s="87"/>
      <c r="G28" s="309"/>
      <c r="H28" s="309"/>
      <c r="I28" s="308"/>
      <c r="J28" s="309"/>
      <c r="K28" s="314"/>
      <c r="L28" s="309"/>
      <c r="M28" s="309"/>
      <c r="N28" s="250"/>
    </row>
    <row r="29" spans="1:14">
      <c r="A29" s="113"/>
      <c r="B29" s="93" t="s">
        <v>60</v>
      </c>
      <c r="C29" s="94"/>
      <c r="D29" s="94"/>
      <c r="E29" s="95"/>
      <c r="F29" s="97">
        <v>0</v>
      </c>
      <c r="G29" s="306">
        <v>0</v>
      </c>
      <c r="H29" s="306">
        <v>0</v>
      </c>
      <c r="I29" s="305">
        <v>0</v>
      </c>
      <c r="J29" s="306">
        <v>0</v>
      </c>
      <c r="K29" s="315">
        <v>0</v>
      </c>
      <c r="L29" s="306">
        <v>0</v>
      </c>
      <c r="M29" s="306">
        <v>0</v>
      </c>
      <c r="N29" s="250"/>
    </row>
    <row r="30" spans="1:14">
      <c r="A30" s="113"/>
      <c r="B30" s="119"/>
      <c r="C30" s="115"/>
      <c r="D30" s="115"/>
      <c r="E30" s="86"/>
      <c r="F30" s="87"/>
      <c r="G30" s="309"/>
      <c r="H30" s="309"/>
      <c r="I30" s="308"/>
      <c r="J30" s="309"/>
      <c r="K30" s="314"/>
      <c r="L30" s="309"/>
      <c r="M30" s="309"/>
      <c r="N30" s="250"/>
    </row>
    <row r="31" spans="1:14" ht="33" customHeight="1">
      <c r="A31" s="120">
        <v>4</v>
      </c>
      <c r="B31" s="121" t="s">
        <v>61</v>
      </c>
      <c r="C31" s="115"/>
      <c r="D31" s="115"/>
      <c r="E31" s="86"/>
      <c r="F31" s="87"/>
      <c r="G31" s="309"/>
      <c r="H31" s="309"/>
      <c r="I31" s="308"/>
      <c r="J31" s="309"/>
      <c r="K31" s="314"/>
      <c r="L31" s="309"/>
      <c r="M31" s="309"/>
      <c r="N31" s="250"/>
    </row>
    <row r="32" spans="1:14">
      <c r="A32" s="83"/>
      <c r="B32" s="90" t="s">
        <v>68</v>
      </c>
      <c r="C32" s="131" t="s">
        <v>66</v>
      </c>
      <c r="D32" s="131"/>
      <c r="E32" s="86"/>
      <c r="F32" s="87"/>
      <c r="G32" s="309"/>
      <c r="H32" s="309"/>
      <c r="I32" s="310"/>
      <c r="J32" s="311"/>
      <c r="K32" s="312"/>
      <c r="L32" s="309"/>
      <c r="M32" s="311"/>
      <c r="N32" s="250"/>
    </row>
    <row r="33" spans="1:15">
      <c r="A33" s="83"/>
      <c r="B33" s="84"/>
      <c r="C33" s="131" t="s">
        <v>67</v>
      </c>
      <c r="D33" s="131"/>
      <c r="E33" s="86"/>
      <c r="F33" s="87"/>
      <c r="G33" s="309"/>
      <c r="H33" s="309"/>
      <c r="I33" s="310"/>
      <c r="J33" s="311"/>
      <c r="K33" s="312"/>
      <c r="L33" s="309"/>
      <c r="M33" s="311"/>
      <c r="N33" s="250"/>
    </row>
    <row r="34" spans="1:15">
      <c r="A34" s="83"/>
      <c r="B34" s="99" t="s">
        <v>72</v>
      </c>
      <c r="C34" s="85" t="s">
        <v>55</v>
      </c>
      <c r="D34" s="85"/>
      <c r="E34" s="86"/>
      <c r="F34" s="87"/>
      <c r="G34" s="309"/>
      <c r="H34" s="309"/>
      <c r="I34" s="310"/>
      <c r="J34" s="311"/>
      <c r="K34" s="312"/>
      <c r="L34" s="309"/>
      <c r="M34" s="311"/>
      <c r="N34" s="250"/>
    </row>
    <row r="35" spans="1:15">
      <c r="A35" s="141"/>
      <c r="B35" s="142" t="s">
        <v>62</v>
      </c>
      <c r="C35" s="94"/>
      <c r="D35" s="94"/>
      <c r="E35" s="94"/>
      <c r="F35" s="107">
        <v>351</v>
      </c>
      <c r="G35" s="315">
        <v>435</v>
      </c>
      <c r="H35" s="306">
        <f>459+100-29</f>
        <v>530</v>
      </c>
      <c r="I35" s="307">
        <v>284</v>
      </c>
      <c r="J35" s="315">
        <v>164</v>
      </c>
      <c r="K35" s="315">
        <v>169</v>
      </c>
      <c r="L35" s="306">
        <v>173</v>
      </c>
      <c r="M35" s="306">
        <v>176</v>
      </c>
      <c r="N35" s="250"/>
    </row>
    <row r="36" spans="1:15">
      <c r="A36" s="83">
        <v>5</v>
      </c>
      <c r="B36" s="84" t="s">
        <v>63</v>
      </c>
      <c r="C36" s="85"/>
      <c r="D36" s="85"/>
      <c r="E36" s="86"/>
      <c r="F36" s="87"/>
      <c r="G36" s="309"/>
      <c r="H36" s="309"/>
      <c r="I36" s="310"/>
      <c r="J36" s="311"/>
      <c r="K36" s="312"/>
      <c r="L36" s="309"/>
      <c r="M36" s="311"/>
      <c r="N36" s="250"/>
    </row>
    <row r="37" spans="1:15">
      <c r="A37" s="83"/>
      <c r="B37" s="90" t="s">
        <v>69</v>
      </c>
      <c r="C37" s="131" t="s">
        <v>66</v>
      </c>
      <c r="D37" s="131"/>
      <c r="E37" s="86"/>
      <c r="F37" s="87"/>
      <c r="G37" s="309"/>
      <c r="H37" s="309"/>
      <c r="I37" s="311"/>
      <c r="J37" s="311"/>
      <c r="K37" s="312"/>
      <c r="L37" s="309"/>
      <c r="M37" s="311"/>
      <c r="N37" s="250"/>
    </row>
    <row r="38" spans="1:15">
      <c r="A38" s="83"/>
      <c r="B38" s="84"/>
      <c r="C38" s="131" t="s">
        <v>67</v>
      </c>
      <c r="D38" s="131"/>
      <c r="E38" s="86"/>
      <c r="F38" s="87"/>
      <c r="G38" s="309"/>
      <c r="H38" s="309"/>
      <c r="I38" s="311"/>
      <c r="J38" s="311"/>
      <c r="K38" s="312"/>
      <c r="L38" s="309"/>
      <c r="M38" s="311"/>
      <c r="N38" s="250"/>
    </row>
    <row r="39" spans="1:15">
      <c r="A39" s="83"/>
      <c r="B39" s="90" t="s">
        <v>72</v>
      </c>
      <c r="C39" s="85" t="s">
        <v>55</v>
      </c>
      <c r="D39" s="85"/>
      <c r="E39" s="86"/>
      <c r="F39" s="87"/>
      <c r="G39" s="309"/>
      <c r="H39" s="309"/>
      <c r="I39" s="311"/>
      <c r="J39" s="309"/>
      <c r="K39" s="314"/>
      <c r="L39" s="309"/>
      <c r="M39" s="309"/>
      <c r="N39" s="250"/>
    </row>
    <row r="40" spans="1:15">
      <c r="A40" s="83"/>
      <c r="B40" s="93" t="s">
        <v>64</v>
      </c>
      <c r="C40" s="122"/>
      <c r="D40" s="122"/>
      <c r="E40" s="123"/>
      <c r="F40" s="97">
        <v>0</v>
      </c>
      <c r="G40" s="306">
        <v>0</v>
      </c>
      <c r="H40" s="306">
        <v>0</v>
      </c>
      <c r="I40" s="306">
        <v>0</v>
      </c>
      <c r="J40" s="306">
        <v>0</v>
      </c>
      <c r="K40" s="315">
        <v>0</v>
      </c>
      <c r="L40" s="306">
        <v>0</v>
      </c>
      <c r="M40" s="306">
        <v>0</v>
      </c>
      <c r="N40" s="250"/>
    </row>
    <row r="41" spans="1:15" ht="19.5" customHeight="1">
      <c r="A41" s="138">
        <v>6</v>
      </c>
      <c r="B41" s="124" t="s">
        <v>150</v>
      </c>
      <c r="C41" s="85"/>
      <c r="D41" s="85"/>
      <c r="E41" s="86"/>
      <c r="F41" s="87"/>
      <c r="G41" s="87"/>
      <c r="H41" s="87"/>
      <c r="I41" s="88"/>
      <c r="J41" s="88"/>
      <c r="K41" s="88"/>
      <c r="L41" s="88"/>
      <c r="M41" s="88"/>
      <c r="N41" s="125"/>
      <c r="O41" s="125"/>
    </row>
    <row r="42" spans="1:15">
      <c r="A42" s="83"/>
      <c r="B42" s="84"/>
      <c r="C42" s="85"/>
      <c r="D42" s="85"/>
      <c r="E42" s="86"/>
      <c r="F42" s="87"/>
      <c r="G42" s="87"/>
      <c r="H42" s="87"/>
      <c r="I42" s="88"/>
      <c r="J42" s="87"/>
      <c r="K42" s="103"/>
      <c r="L42" s="139"/>
      <c r="M42" s="87"/>
      <c r="N42" s="250"/>
    </row>
    <row r="43" spans="1:15" ht="13.5" thickBot="1">
      <c r="A43" s="126"/>
      <c r="B43" s="127" t="s">
        <v>65</v>
      </c>
      <c r="C43" s="128"/>
      <c r="D43" s="128"/>
      <c r="E43" s="129"/>
      <c r="F43" s="130">
        <f t="shared" ref="F43:M43" si="0">F17+F23+F29+F35+F40+F41</f>
        <v>432</v>
      </c>
      <c r="G43" s="130">
        <f t="shared" si="0"/>
        <v>439</v>
      </c>
      <c r="H43" s="130">
        <f t="shared" si="0"/>
        <v>559</v>
      </c>
      <c r="I43" s="130">
        <f t="shared" si="0"/>
        <v>330</v>
      </c>
      <c r="J43" s="130">
        <f t="shared" si="0"/>
        <v>164</v>
      </c>
      <c r="K43" s="130">
        <f t="shared" si="0"/>
        <v>169</v>
      </c>
      <c r="L43" s="130">
        <f t="shared" si="0"/>
        <v>173</v>
      </c>
      <c r="M43" s="130">
        <f t="shared" si="0"/>
        <v>176</v>
      </c>
      <c r="N43" s="250"/>
    </row>
    <row r="44" spans="1:15" ht="13.5" thickTop="1">
      <c r="I44" s="278"/>
      <c r="N44" s="250"/>
    </row>
    <row r="45" spans="1:15">
      <c r="A45" s="211">
        <v>1</v>
      </c>
      <c r="B45" s="260" t="s">
        <v>124</v>
      </c>
      <c r="F45" s="278"/>
      <c r="J45" s="186"/>
      <c r="K45" s="186"/>
      <c r="L45" s="186"/>
      <c r="M45" s="186"/>
      <c r="N45" s="250"/>
    </row>
    <row r="46" spans="1:15">
      <c r="A46" s="212"/>
      <c r="B46" s="144"/>
      <c r="H46" s="319"/>
      <c r="K46" s="279"/>
      <c r="L46" s="279"/>
      <c r="M46" s="279"/>
      <c r="N46" s="250"/>
    </row>
    <row r="47" spans="1:15">
      <c r="N47" s="250"/>
    </row>
    <row r="48" spans="1:15">
      <c r="H48" s="277"/>
      <c r="N48" s="250"/>
    </row>
    <row r="49" spans="14:14">
      <c r="N49" s="250"/>
    </row>
    <row r="50" spans="14:14">
      <c r="N50" s="250"/>
    </row>
  </sheetData>
  <mergeCells count="7">
    <mergeCell ref="A4:M4"/>
    <mergeCell ref="E7:E8"/>
    <mergeCell ref="D7:D9"/>
    <mergeCell ref="C5:M5"/>
    <mergeCell ref="A5:B5"/>
    <mergeCell ref="J6:K6"/>
    <mergeCell ref="L6:M6"/>
  </mergeCells>
  <pageMargins left="0.70866141732283472" right="0.70866141732283472" top="0.78740157480314965" bottom="0.78740157480314965" header="0.31496062992125984" footer="0.31496062992125984"/>
  <pageSetup paperSize="9" scale="62" orientation="landscape" r:id="rId1"/>
  <headerFooter alignWithMargins="0">
    <oddHeader>&amp;L&amp;12Wirtschaftsplan für Eigenbetriebe und Museumsstiftungen
4. Investitionsplan&amp;R&amp;12Blatt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view="pageLayout" zoomScale="60" zoomScaleNormal="100" zoomScalePageLayoutView="60" workbookViewId="0">
      <selection activeCell="G39" sqref="G39"/>
    </sheetView>
  </sheetViews>
  <sheetFormatPr baseColWidth="10" defaultColWidth="1.42578125" defaultRowHeight="12.75" outlineLevelCol="1"/>
  <cols>
    <col min="1" max="1" width="6.42578125" bestFit="1" customWidth="1"/>
    <col min="2" max="2" width="44.140625" customWidth="1"/>
    <col min="3" max="4" width="0" hidden="1" customWidth="1" outlineLevel="1"/>
    <col min="5" max="5" width="0.42578125" hidden="1" customWidth="1" outlineLevel="1"/>
    <col min="6" max="8" width="14.85546875" customWidth="1" outlineLevel="1"/>
    <col min="9" max="9" width="14.85546875" hidden="1" customWidth="1" outlineLevel="1"/>
    <col min="10" max="13" width="14.85546875" customWidth="1" outlineLevel="1"/>
    <col min="260" max="260" width="42.85546875" customWidth="1"/>
    <col min="261" max="263" width="0" hidden="1" customWidth="1"/>
    <col min="266" max="266" width="0" hidden="1" customWidth="1"/>
    <col min="267" max="267" width="12" customWidth="1"/>
    <col min="516" max="516" width="42.85546875" customWidth="1"/>
    <col min="517" max="519" width="0" hidden="1" customWidth="1"/>
    <col min="522" max="522" width="0" hidden="1" customWidth="1"/>
    <col min="523" max="523" width="12" customWidth="1"/>
    <col min="772" max="772" width="42.85546875" customWidth="1"/>
    <col min="773" max="775" width="0" hidden="1" customWidth="1"/>
    <col min="778" max="778" width="0" hidden="1" customWidth="1"/>
    <col min="779" max="779" width="12" customWidth="1"/>
    <col min="1028" max="1028" width="42.85546875" customWidth="1"/>
    <col min="1029" max="1031" width="0" hidden="1" customWidth="1"/>
    <col min="1034" max="1034" width="0" hidden="1" customWidth="1"/>
    <col min="1035" max="1035" width="12" customWidth="1"/>
    <col min="1284" max="1284" width="42.85546875" customWidth="1"/>
    <col min="1285" max="1287" width="0" hidden="1" customWidth="1"/>
    <col min="1290" max="1290" width="0" hidden="1" customWidth="1"/>
    <col min="1291" max="1291" width="12" customWidth="1"/>
    <col min="1540" max="1540" width="42.85546875" customWidth="1"/>
    <col min="1541" max="1543" width="0" hidden="1" customWidth="1"/>
    <col min="1546" max="1546" width="0" hidden="1" customWidth="1"/>
    <col min="1547" max="1547" width="12" customWidth="1"/>
    <col min="1796" max="1796" width="42.85546875" customWidth="1"/>
    <col min="1797" max="1799" width="0" hidden="1" customWidth="1"/>
    <col min="1802" max="1802" width="0" hidden="1" customWidth="1"/>
    <col min="1803" max="1803" width="12" customWidth="1"/>
    <col min="2052" max="2052" width="42.85546875" customWidth="1"/>
    <col min="2053" max="2055" width="0" hidden="1" customWidth="1"/>
    <col min="2058" max="2058" width="0" hidden="1" customWidth="1"/>
    <col min="2059" max="2059" width="12" customWidth="1"/>
    <col min="2308" max="2308" width="42.85546875" customWidth="1"/>
    <col min="2309" max="2311" width="0" hidden="1" customWidth="1"/>
    <col min="2314" max="2314" width="0" hidden="1" customWidth="1"/>
    <col min="2315" max="2315" width="12" customWidth="1"/>
    <col min="2564" max="2564" width="42.85546875" customWidth="1"/>
    <col min="2565" max="2567" width="0" hidden="1" customWidth="1"/>
    <col min="2570" max="2570" width="0" hidden="1" customWidth="1"/>
    <col min="2571" max="2571" width="12" customWidth="1"/>
    <col min="2820" max="2820" width="42.85546875" customWidth="1"/>
    <col min="2821" max="2823" width="0" hidden="1" customWidth="1"/>
    <col min="2826" max="2826" width="0" hidden="1" customWidth="1"/>
    <col min="2827" max="2827" width="12" customWidth="1"/>
    <col min="3076" max="3076" width="42.85546875" customWidth="1"/>
    <col min="3077" max="3079" width="0" hidden="1" customWidth="1"/>
    <col min="3082" max="3082" width="0" hidden="1" customWidth="1"/>
    <col min="3083" max="3083" width="12" customWidth="1"/>
    <col min="3332" max="3332" width="42.85546875" customWidth="1"/>
    <col min="3333" max="3335" width="0" hidden="1" customWidth="1"/>
    <col min="3338" max="3338" width="0" hidden="1" customWidth="1"/>
    <col min="3339" max="3339" width="12" customWidth="1"/>
    <col min="3588" max="3588" width="42.85546875" customWidth="1"/>
    <col min="3589" max="3591" width="0" hidden="1" customWidth="1"/>
    <col min="3594" max="3594" width="0" hidden="1" customWidth="1"/>
    <col min="3595" max="3595" width="12" customWidth="1"/>
    <col min="3844" max="3844" width="42.85546875" customWidth="1"/>
    <col min="3845" max="3847" width="0" hidden="1" customWidth="1"/>
    <col min="3850" max="3850" width="0" hidden="1" customWidth="1"/>
    <col min="3851" max="3851" width="12" customWidth="1"/>
    <col min="4100" max="4100" width="42.85546875" customWidth="1"/>
    <col min="4101" max="4103" width="0" hidden="1" customWidth="1"/>
    <col min="4106" max="4106" width="0" hidden="1" customWidth="1"/>
    <col min="4107" max="4107" width="12" customWidth="1"/>
    <col min="4356" max="4356" width="42.85546875" customWidth="1"/>
    <col min="4357" max="4359" width="0" hidden="1" customWidth="1"/>
    <col min="4362" max="4362" width="0" hidden="1" customWidth="1"/>
    <col min="4363" max="4363" width="12" customWidth="1"/>
    <col min="4612" max="4612" width="42.85546875" customWidth="1"/>
    <col min="4613" max="4615" width="0" hidden="1" customWidth="1"/>
    <col min="4618" max="4618" width="0" hidden="1" customWidth="1"/>
    <col min="4619" max="4619" width="12" customWidth="1"/>
    <col min="4868" max="4868" width="42.85546875" customWidth="1"/>
    <col min="4869" max="4871" width="0" hidden="1" customWidth="1"/>
    <col min="4874" max="4874" width="0" hidden="1" customWidth="1"/>
    <col min="4875" max="4875" width="12" customWidth="1"/>
    <col min="5124" max="5124" width="42.85546875" customWidth="1"/>
    <col min="5125" max="5127" width="0" hidden="1" customWidth="1"/>
    <col min="5130" max="5130" width="0" hidden="1" customWidth="1"/>
    <col min="5131" max="5131" width="12" customWidth="1"/>
    <col min="5380" max="5380" width="42.85546875" customWidth="1"/>
    <col min="5381" max="5383" width="0" hidden="1" customWidth="1"/>
    <col min="5386" max="5386" width="0" hidden="1" customWidth="1"/>
    <col min="5387" max="5387" width="12" customWidth="1"/>
    <col min="5636" max="5636" width="42.85546875" customWidth="1"/>
    <col min="5637" max="5639" width="0" hidden="1" customWidth="1"/>
    <col min="5642" max="5642" width="0" hidden="1" customWidth="1"/>
    <col min="5643" max="5643" width="12" customWidth="1"/>
    <col min="5892" max="5892" width="42.85546875" customWidth="1"/>
    <col min="5893" max="5895" width="0" hidden="1" customWidth="1"/>
    <col min="5898" max="5898" width="0" hidden="1" customWidth="1"/>
    <col min="5899" max="5899" width="12" customWidth="1"/>
    <col min="6148" max="6148" width="42.85546875" customWidth="1"/>
    <col min="6149" max="6151" width="0" hidden="1" customWidth="1"/>
    <col min="6154" max="6154" width="0" hidden="1" customWidth="1"/>
    <col min="6155" max="6155" width="12" customWidth="1"/>
    <col min="6404" max="6404" width="42.85546875" customWidth="1"/>
    <col min="6405" max="6407" width="0" hidden="1" customWidth="1"/>
    <col min="6410" max="6410" width="0" hidden="1" customWidth="1"/>
    <col min="6411" max="6411" width="12" customWidth="1"/>
    <col min="6660" max="6660" width="42.85546875" customWidth="1"/>
    <col min="6661" max="6663" width="0" hidden="1" customWidth="1"/>
    <col min="6666" max="6666" width="0" hidden="1" customWidth="1"/>
    <col min="6667" max="6667" width="12" customWidth="1"/>
    <col min="6916" max="6916" width="42.85546875" customWidth="1"/>
    <col min="6917" max="6919" width="0" hidden="1" customWidth="1"/>
    <col min="6922" max="6922" width="0" hidden="1" customWidth="1"/>
    <col min="6923" max="6923" width="12" customWidth="1"/>
    <col min="7172" max="7172" width="42.85546875" customWidth="1"/>
    <col min="7173" max="7175" width="0" hidden="1" customWidth="1"/>
    <col min="7178" max="7178" width="0" hidden="1" customWidth="1"/>
    <col min="7179" max="7179" width="12" customWidth="1"/>
    <col min="7428" max="7428" width="42.85546875" customWidth="1"/>
    <col min="7429" max="7431" width="0" hidden="1" customWidth="1"/>
    <col min="7434" max="7434" width="0" hidden="1" customWidth="1"/>
    <col min="7435" max="7435" width="12" customWidth="1"/>
    <col min="7684" max="7684" width="42.85546875" customWidth="1"/>
    <col min="7685" max="7687" width="0" hidden="1" customWidth="1"/>
    <col min="7690" max="7690" width="0" hidden="1" customWidth="1"/>
    <col min="7691" max="7691" width="12" customWidth="1"/>
    <col min="7940" max="7940" width="42.85546875" customWidth="1"/>
    <col min="7941" max="7943" width="0" hidden="1" customWidth="1"/>
    <col min="7946" max="7946" width="0" hidden="1" customWidth="1"/>
    <col min="7947" max="7947" width="12" customWidth="1"/>
    <col min="8196" max="8196" width="42.85546875" customWidth="1"/>
    <col min="8197" max="8199" width="0" hidden="1" customWidth="1"/>
    <col min="8202" max="8202" width="0" hidden="1" customWidth="1"/>
    <col min="8203" max="8203" width="12" customWidth="1"/>
    <col min="8452" max="8452" width="42.85546875" customWidth="1"/>
    <col min="8453" max="8455" width="0" hidden="1" customWidth="1"/>
    <col min="8458" max="8458" width="0" hidden="1" customWidth="1"/>
    <col min="8459" max="8459" width="12" customWidth="1"/>
    <col min="8708" max="8708" width="42.85546875" customWidth="1"/>
    <col min="8709" max="8711" width="0" hidden="1" customWidth="1"/>
    <col min="8714" max="8714" width="0" hidden="1" customWidth="1"/>
    <col min="8715" max="8715" width="12" customWidth="1"/>
    <col min="8964" max="8964" width="42.85546875" customWidth="1"/>
    <col min="8965" max="8967" width="0" hidden="1" customWidth="1"/>
    <col min="8970" max="8970" width="0" hidden="1" customWidth="1"/>
    <col min="8971" max="8971" width="12" customWidth="1"/>
    <col min="9220" max="9220" width="42.85546875" customWidth="1"/>
    <col min="9221" max="9223" width="0" hidden="1" customWidth="1"/>
    <col min="9226" max="9226" width="0" hidden="1" customWidth="1"/>
    <col min="9227" max="9227" width="12" customWidth="1"/>
    <col min="9476" max="9476" width="42.85546875" customWidth="1"/>
    <col min="9477" max="9479" width="0" hidden="1" customWidth="1"/>
    <col min="9482" max="9482" width="0" hidden="1" customWidth="1"/>
    <col min="9483" max="9483" width="12" customWidth="1"/>
    <col min="9732" max="9732" width="42.85546875" customWidth="1"/>
    <col min="9733" max="9735" width="0" hidden="1" customWidth="1"/>
    <col min="9738" max="9738" width="0" hidden="1" customWidth="1"/>
    <col min="9739" max="9739" width="12" customWidth="1"/>
    <col min="9988" max="9988" width="42.85546875" customWidth="1"/>
    <col min="9989" max="9991" width="0" hidden="1" customWidth="1"/>
    <col min="9994" max="9994" width="0" hidden="1" customWidth="1"/>
    <col min="9995" max="9995" width="12" customWidth="1"/>
    <col min="10244" max="10244" width="42.85546875" customWidth="1"/>
    <col min="10245" max="10247" width="0" hidden="1" customWidth="1"/>
    <col min="10250" max="10250" width="0" hidden="1" customWidth="1"/>
    <col min="10251" max="10251" width="12" customWidth="1"/>
    <col min="10500" max="10500" width="42.85546875" customWidth="1"/>
    <col min="10501" max="10503" width="0" hidden="1" customWidth="1"/>
    <col min="10506" max="10506" width="0" hidden="1" customWidth="1"/>
    <col min="10507" max="10507" width="12" customWidth="1"/>
    <col min="10756" max="10756" width="42.85546875" customWidth="1"/>
    <col min="10757" max="10759" width="0" hidden="1" customWidth="1"/>
    <col min="10762" max="10762" width="0" hidden="1" customWidth="1"/>
    <col min="10763" max="10763" width="12" customWidth="1"/>
    <col min="11012" max="11012" width="42.85546875" customWidth="1"/>
    <col min="11013" max="11015" width="0" hidden="1" customWidth="1"/>
    <col min="11018" max="11018" width="0" hidden="1" customWidth="1"/>
    <col min="11019" max="11019" width="12" customWidth="1"/>
    <col min="11268" max="11268" width="42.85546875" customWidth="1"/>
    <col min="11269" max="11271" width="0" hidden="1" customWidth="1"/>
    <col min="11274" max="11274" width="0" hidden="1" customWidth="1"/>
    <col min="11275" max="11275" width="12" customWidth="1"/>
    <col min="11524" max="11524" width="42.85546875" customWidth="1"/>
    <col min="11525" max="11527" width="0" hidden="1" customWidth="1"/>
    <col min="11530" max="11530" width="0" hidden="1" customWidth="1"/>
    <col min="11531" max="11531" width="12" customWidth="1"/>
    <col min="11780" max="11780" width="42.85546875" customWidth="1"/>
    <col min="11781" max="11783" width="0" hidden="1" customWidth="1"/>
    <col min="11786" max="11786" width="0" hidden="1" customWidth="1"/>
    <col min="11787" max="11787" width="12" customWidth="1"/>
    <col min="12036" max="12036" width="42.85546875" customWidth="1"/>
    <col min="12037" max="12039" width="0" hidden="1" customWidth="1"/>
    <col min="12042" max="12042" width="0" hidden="1" customWidth="1"/>
    <col min="12043" max="12043" width="12" customWidth="1"/>
    <col min="12292" max="12292" width="42.85546875" customWidth="1"/>
    <col min="12293" max="12295" width="0" hidden="1" customWidth="1"/>
    <col min="12298" max="12298" width="0" hidden="1" customWidth="1"/>
    <col min="12299" max="12299" width="12" customWidth="1"/>
    <col min="12548" max="12548" width="42.85546875" customWidth="1"/>
    <col min="12549" max="12551" width="0" hidden="1" customWidth="1"/>
    <col min="12554" max="12554" width="0" hidden="1" customWidth="1"/>
    <col min="12555" max="12555" width="12" customWidth="1"/>
    <col min="12804" max="12804" width="42.85546875" customWidth="1"/>
    <col min="12805" max="12807" width="0" hidden="1" customWidth="1"/>
    <col min="12810" max="12810" width="0" hidden="1" customWidth="1"/>
    <col min="12811" max="12811" width="12" customWidth="1"/>
    <col min="13060" max="13060" width="42.85546875" customWidth="1"/>
    <col min="13061" max="13063" width="0" hidden="1" customWidth="1"/>
    <col min="13066" max="13066" width="0" hidden="1" customWidth="1"/>
    <col min="13067" max="13067" width="12" customWidth="1"/>
    <col min="13316" max="13316" width="42.85546875" customWidth="1"/>
    <col min="13317" max="13319" width="0" hidden="1" customWidth="1"/>
    <col min="13322" max="13322" width="0" hidden="1" customWidth="1"/>
    <col min="13323" max="13323" width="12" customWidth="1"/>
    <col min="13572" max="13572" width="42.85546875" customWidth="1"/>
    <col min="13573" max="13575" width="0" hidden="1" customWidth="1"/>
    <col min="13578" max="13578" width="0" hidden="1" customWidth="1"/>
    <col min="13579" max="13579" width="12" customWidth="1"/>
    <col min="13828" max="13828" width="42.85546875" customWidth="1"/>
    <col min="13829" max="13831" width="0" hidden="1" customWidth="1"/>
    <col min="13834" max="13834" width="0" hidden="1" customWidth="1"/>
    <col min="13835" max="13835" width="12" customWidth="1"/>
    <col min="14084" max="14084" width="42.85546875" customWidth="1"/>
    <col min="14085" max="14087" width="0" hidden="1" customWidth="1"/>
    <col min="14090" max="14090" width="0" hidden="1" customWidth="1"/>
    <col min="14091" max="14091" width="12" customWidth="1"/>
    <col min="14340" max="14340" width="42.85546875" customWidth="1"/>
    <col min="14341" max="14343" width="0" hidden="1" customWidth="1"/>
    <col min="14346" max="14346" width="0" hidden="1" customWidth="1"/>
    <col min="14347" max="14347" width="12" customWidth="1"/>
    <col min="14596" max="14596" width="42.85546875" customWidth="1"/>
    <col min="14597" max="14599" width="0" hidden="1" customWidth="1"/>
    <col min="14602" max="14602" width="0" hidden="1" customWidth="1"/>
    <col min="14603" max="14603" width="12" customWidth="1"/>
    <col min="14852" max="14852" width="42.85546875" customWidth="1"/>
    <col min="14853" max="14855" width="0" hidden="1" customWidth="1"/>
    <col min="14858" max="14858" width="0" hidden="1" customWidth="1"/>
    <col min="14859" max="14859" width="12" customWidth="1"/>
    <col min="15108" max="15108" width="42.85546875" customWidth="1"/>
    <col min="15109" max="15111" width="0" hidden="1" customWidth="1"/>
    <col min="15114" max="15114" width="0" hidden="1" customWidth="1"/>
    <col min="15115" max="15115" width="12" customWidth="1"/>
    <col min="15364" max="15364" width="42.85546875" customWidth="1"/>
    <col min="15365" max="15367" width="0" hidden="1" customWidth="1"/>
    <col min="15370" max="15370" width="0" hidden="1" customWidth="1"/>
    <col min="15371" max="15371" width="12" customWidth="1"/>
    <col min="15620" max="15620" width="42.85546875" customWidth="1"/>
    <col min="15621" max="15623" width="0" hidden="1" customWidth="1"/>
    <col min="15626" max="15626" width="0" hidden="1" customWidth="1"/>
    <col min="15627" max="15627" width="12" customWidth="1"/>
    <col min="15876" max="15876" width="42.85546875" customWidth="1"/>
    <col min="15877" max="15879" width="0" hidden="1" customWidth="1"/>
    <col min="15882" max="15882" width="0" hidden="1" customWidth="1"/>
    <col min="15883" max="15883" width="12" customWidth="1"/>
    <col min="16132" max="16132" width="42.85546875" customWidth="1"/>
    <col min="16133" max="16135" width="0" hidden="1" customWidth="1"/>
    <col min="16138" max="16138" width="0" hidden="1" customWidth="1"/>
    <col min="16139" max="16139" width="12" customWidth="1"/>
  </cols>
  <sheetData>
    <row r="1" spans="1:13" ht="18" customHeight="1">
      <c r="B1" s="16"/>
      <c r="C1" s="143"/>
      <c r="D1" s="143"/>
      <c r="E1" s="143"/>
      <c r="F1" s="143"/>
      <c r="G1" s="246"/>
    </row>
    <row r="2" spans="1:13" ht="18">
      <c r="B2" s="171"/>
      <c r="C2" s="172"/>
      <c r="D2" s="172"/>
      <c r="E2" s="172"/>
      <c r="F2" s="172"/>
      <c r="G2" s="172"/>
      <c r="H2" s="172"/>
      <c r="I2" s="172"/>
      <c r="J2" s="172"/>
      <c r="K2" s="172"/>
      <c r="L2" s="172"/>
      <c r="M2" s="172"/>
    </row>
    <row r="3" spans="1:13" ht="18">
      <c r="B3" s="171"/>
      <c r="C3" s="172"/>
      <c r="D3" s="172"/>
      <c r="E3" s="172"/>
      <c r="F3" s="172"/>
      <c r="G3" s="172"/>
      <c r="H3" s="172"/>
      <c r="I3" s="172"/>
      <c r="J3" s="172"/>
      <c r="K3" s="172"/>
      <c r="L3" s="172"/>
      <c r="M3" s="172"/>
    </row>
    <row r="4" spans="1:13" ht="18">
      <c r="A4" s="407" t="s">
        <v>75</v>
      </c>
      <c r="B4" s="408"/>
      <c r="C4" s="408"/>
      <c r="D4" s="408"/>
      <c r="E4" s="408"/>
      <c r="F4" s="408"/>
      <c r="G4" s="408"/>
      <c r="H4" s="408"/>
      <c r="I4" s="408"/>
      <c r="J4" s="408"/>
      <c r="K4" s="408"/>
      <c r="L4" s="408"/>
      <c r="M4" s="409"/>
    </row>
    <row r="5" spans="1:13" ht="15.75">
      <c r="A5" s="410" t="s">
        <v>145</v>
      </c>
      <c r="B5" s="411"/>
      <c r="C5" s="416"/>
      <c r="D5" s="456" t="s">
        <v>159</v>
      </c>
      <c r="E5" s="456"/>
      <c r="F5" s="456"/>
      <c r="G5" s="456"/>
      <c r="H5" s="456"/>
      <c r="I5" s="456"/>
      <c r="J5" s="456"/>
      <c r="K5" s="456"/>
      <c r="L5" s="456"/>
      <c r="M5" s="457"/>
    </row>
    <row r="6" spans="1:13" ht="17.25" customHeight="1">
      <c r="A6" s="258"/>
      <c r="B6" s="259"/>
      <c r="C6" s="259"/>
      <c r="D6" s="259"/>
      <c r="E6" s="259"/>
      <c r="F6" s="259"/>
      <c r="G6" s="259"/>
      <c r="H6" s="259"/>
      <c r="I6" s="259"/>
      <c r="J6" s="461" t="s">
        <v>143</v>
      </c>
      <c r="K6" s="462"/>
      <c r="L6" s="463" t="s">
        <v>142</v>
      </c>
      <c r="M6" s="462"/>
    </row>
    <row r="7" spans="1:13" ht="24.75" hidden="1" customHeight="1">
      <c r="A7" s="250"/>
      <c r="B7" s="174"/>
      <c r="C7" s="150"/>
      <c r="D7" s="175"/>
      <c r="E7" s="150"/>
      <c r="F7" s="150"/>
      <c r="G7" s="150"/>
      <c r="H7" s="149" t="s">
        <v>18</v>
      </c>
      <c r="I7" s="176"/>
      <c r="J7" s="150"/>
      <c r="K7" s="150"/>
      <c r="L7" s="150"/>
      <c r="M7" s="150"/>
    </row>
    <row r="8" spans="1:13" ht="14.25" customHeight="1">
      <c r="A8" s="458" t="s">
        <v>50</v>
      </c>
      <c r="B8" s="174"/>
      <c r="C8" s="151" t="s">
        <v>91</v>
      </c>
      <c r="D8" s="177" t="s">
        <v>92</v>
      </c>
      <c r="E8" s="149" t="s">
        <v>93</v>
      </c>
      <c r="F8" s="337" t="s">
        <v>187</v>
      </c>
      <c r="G8" s="337" t="s">
        <v>192</v>
      </c>
      <c r="H8" s="337" t="s">
        <v>188</v>
      </c>
      <c r="I8" s="173"/>
      <c r="J8" s="338" t="s">
        <v>167</v>
      </c>
      <c r="K8" s="337" t="s">
        <v>168</v>
      </c>
      <c r="L8" s="337" t="s">
        <v>169</v>
      </c>
      <c r="M8" s="337" t="s">
        <v>181</v>
      </c>
    </row>
    <row r="9" spans="1:13" ht="15" customHeight="1">
      <c r="A9" s="459"/>
      <c r="B9" s="178"/>
      <c r="C9" s="153" t="s">
        <v>4</v>
      </c>
      <c r="D9" s="153" t="s">
        <v>4</v>
      </c>
      <c r="E9" s="153"/>
      <c r="F9" s="153" t="s">
        <v>4</v>
      </c>
      <c r="G9" s="153" t="s">
        <v>4</v>
      </c>
      <c r="H9" s="153" t="s">
        <v>4</v>
      </c>
      <c r="I9" s="179"/>
      <c r="J9" s="153" t="s">
        <v>4</v>
      </c>
      <c r="K9" s="153" t="s">
        <v>4</v>
      </c>
      <c r="L9" s="153" t="s">
        <v>4</v>
      </c>
      <c r="M9" s="153" t="s">
        <v>4</v>
      </c>
    </row>
    <row r="10" spans="1:13" ht="21.75" customHeight="1">
      <c r="A10" s="344">
        <v>1</v>
      </c>
      <c r="B10" s="180" t="s">
        <v>94</v>
      </c>
      <c r="C10" s="181"/>
      <c r="D10" s="157"/>
      <c r="E10" s="157"/>
      <c r="F10" s="157"/>
      <c r="G10" s="157"/>
      <c r="H10" s="157"/>
      <c r="I10" s="250"/>
      <c r="J10" s="157"/>
      <c r="K10" s="157"/>
      <c r="L10" s="157"/>
      <c r="M10" s="182"/>
    </row>
    <row r="11" spans="1:13" ht="17.100000000000001" customHeight="1">
      <c r="A11" s="344">
        <v>2</v>
      </c>
      <c r="B11" s="183" t="s">
        <v>95</v>
      </c>
      <c r="C11" s="184"/>
      <c r="D11" s="185"/>
      <c r="E11" s="157"/>
      <c r="F11" s="185">
        <v>148</v>
      </c>
      <c r="G11" s="185">
        <v>114</v>
      </c>
      <c r="H11" s="185">
        <f>G11+Investitionsplan!H17</f>
        <v>143</v>
      </c>
      <c r="I11" s="350"/>
      <c r="J11" s="185">
        <f>SUM(G11+Investitionsplan!H17+Investitionsplan!J17)</f>
        <v>143</v>
      </c>
      <c r="K11" s="185">
        <f>SUM(J11+Investitionsplan!K17)</f>
        <v>143</v>
      </c>
      <c r="L11" s="185">
        <f>SUM(K11+Investitionsplan!L17)</f>
        <v>143</v>
      </c>
      <c r="M11" s="185">
        <f>SUM(L11+Investitionsplan!M17)</f>
        <v>143</v>
      </c>
    </row>
    <row r="12" spans="1:13" ht="17.100000000000001" customHeight="1">
      <c r="A12" s="344">
        <v>3</v>
      </c>
      <c r="B12" s="163" t="s">
        <v>96</v>
      </c>
      <c r="C12" s="184"/>
      <c r="D12" s="185"/>
      <c r="E12" s="157"/>
      <c r="F12" s="185">
        <v>3399</v>
      </c>
      <c r="G12" s="185">
        <f>3677-114-25</f>
        <v>3538</v>
      </c>
      <c r="H12" s="185">
        <f>G12+Investitionsplan!H35</f>
        <v>4068</v>
      </c>
      <c r="I12" s="350"/>
      <c r="J12" s="185">
        <f>SUM(G12+Investitionsplan!H35+Investitionsplan!J35)</f>
        <v>4232</v>
      </c>
      <c r="K12" s="185">
        <f>SUM(J12+Investitionsplan!K35)</f>
        <v>4401</v>
      </c>
      <c r="L12" s="185">
        <f>SUM(K12+Investitionsplan!L35)</f>
        <v>4574</v>
      </c>
      <c r="M12" s="185">
        <v>4749</v>
      </c>
    </row>
    <row r="13" spans="1:13" s="186" customFormat="1" ht="17.100000000000001" customHeight="1">
      <c r="A13" s="242">
        <v>4</v>
      </c>
      <c r="B13" s="185" t="s">
        <v>97</v>
      </c>
      <c r="C13" s="184"/>
      <c r="D13" s="185"/>
      <c r="E13" s="185"/>
      <c r="F13" s="185">
        <v>25</v>
      </c>
      <c r="G13" s="185">
        <v>25</v>
      </c>
      <c r="H13" s="185">
        <v>25</v>
      </c>
      <c r="I13" s="185"/>
      <c r="J13" s="185">
        <v>25</v>
      </c>
      <c r="K13" s="185">
        <v>25</v>
      </c>
      <c r="L13" s="185">
        <v>25</v>
      </c>
      <c r="M13" s="185">
        <v>25</v>
      </c>
    </row>
    <row r="14" spans="1:13" s="186" customFormat="1" ht="17.100000000000001" customHeight="1">
      <c r="A14" s="242">
        <v>5</v>
      </c>
      <c r="B14" s="187" t="s">
        <v>98</v>
      </c>
      <c r="C14" s="188"/>
      <c r="D14" s="187"/>
      <c r="E14" s="187"/>
      <c r="F14" s="187">
        <f>SUM(F11:F13)</f>
        <v>3572</v>
      </c>
      <c r="G14" s="187">
        <f>SUM(G11:G13)</f>
        <v>3677</v>
      </c>
      <c r="H14" s="187">
        <f t="shared" ref="H14:M14" si="0">SUM(H11:H13)</f>
        <v>4236</v>
      </c>
      <c r="I14" s="187">
        <f t="shared" si="0"/>
        <v>0</v>
      </c>
      <c r="J14" s="187">
        <f t="shared" si="0"/>
        <v>4400</v>
      </c>
      <c r="K14" s="187">
        <f t="shared" si="0"/>
        <v>4569</v>
      </c>
      <c r="L14" s="187">
        <f t="shared" si="0"/>
        <v>4742</v>
      </c>
      <c r="M14" s="187">
        <f t="shared" si="0"/>
        <v>4917</v>
      </c>
    </row>
    <row r="15" spans="1:13" s="186" customFormat="1" ht="17.100000000000001" customHeight="1">
      <c r="A15" s="242">
        <v>6</v>
      </c>
      <c r="B15" s="185" t="s">
        <v>99</v>
      </c>
      <c r="C15" s="184"/>
      <c r="D15" s="185"/>
      <c r="E15" s="185"/>
      <c r="F15" s="185">
        <v>5</v>
      </c>
      <c r="G15" s="185">
        <v>5</v>
      </c>
      <c r="H15" s="185">
        <v>7</v>
      </c>
      <c r="I15" s="350"/>
      <c r="J15" s="185">
        <v>7</v>
      </c>
      <c r="K15" s="185">
        <v>7</v>
      </c>
      <c r="L15" s="185">
        <v>7</v>
      </c>
      <c r="M15" s="185">
        <v>7</v>
      </c>
    </row>
    <row r="16" spans="1:13" s="186" customFormat="1" ht="17.100000000000001" customHeight="1">
      <c r="A16" s="242">
        <v>7</v>
      </c>
      <c r="B16" s="185" t="s">
        <v>100</v>
      </c>
      <c r="C16" s="184"/>
      <c r="D16" s="185"/>
      <c r="E16" s="185"/>
      <c r="F16" s="185">
        <v>3392</v>
      </c>
      <c r="G16" s="183">
        <v>2716</v>
      </c>
      <c r="H16" s="185">
        <f>SUM(G16/Erfolgsplan!D12*Erfolgsplan!E12)-G16*12%</f>
        <v>2661.2721921921921</v>
      </c>
      <c r="I16" s="350"/>
      <c r="J16" s="185">
        <f>SUM(H16/Erfolgsplan!E12*Erfolgsplan!J12)-H16*1%</f>
        <v>2978.3800961657903</v>
      </c>
      <c r="K16" s="185">
        <f>SUM(J16/Erfolgsplan!J12*Erfolgsplan!K12)-J16*1%</f>
        <v>3003.7681532832862</v>
      </c>
      <c r="L16" s="185">
        <f>SUM(K16/Erfolgsplan!K12*Erfolgsplan!L12)-K16*1%</f>
        <v>3010.2779306275224</v>
      </c>
      <c r="M16" s="185">
        <f>SUM(L16/Erfolgsplan!L12*Erfolgsplan!M12)-L16*1%</f>
        <v>3016.8658687165398</v>
      </c>
    </row>
    <row r="17" spans="1:13" s="186" customFormat="1" ht="17.100000000000001" customHeight="1">
      <c r="A17" s="242">
        <v>8</v>
      </c>
      <c r="B17" s="189" t="s">
        <v>101</v>
      </c>
      <c r="C17" s="189"/>
      <c r="D17" s="189"/>
      <c r="E17" s="189"/>
      <c r="F17" s="189">
        <f>SUM(F16/100*90)</f>
        <v>3052.8</v>
      </c>
      <c r="G17" s="189">
        <f>SUM(G16/100*90)</f>
        <v>2444.4</v>
      </c>
      <c r="H17" s="189">
        <v>2185</v>
      </c>
      <c r="I17" s="190"/>
      <c r="J17" s="189">
        <f>SUM(J16/100*91)</f>
        <v>2710.3258875108691</v>
      </c>
      <c r="K17" s="189">
        <f>SUM(K16/100*91)</f>
        <v>2733.4290194877904</v>
      </c>
      <c r="L17" s="189">
        <f>SUM(L16/100*91)</f>
        <v>2739.3529168710452</v>
      </c>
      <c r="M17" s="189">
        <f>SUM(M16/100*91)</f>
        <v>2745.3479405320513</v>
      </c>
    </row>
    <row r="18" spans="1:13" s="186" customFormat="1" ht="17.100000000000001" customHeight="1">
      <c r="A18" s="242">
        <v>9</v>
      </c>
      <c r="B18" s="185" t="s">
        <v>102</v>
      </c>
      <c r="C18" s="184"/>
      <c r="D18" s="185"/>
      <c r="E18" s="185"/>
      <c r="F18" s="185">
        <v>146</v>
      </c>
      <c r="G18" s="183">
        <v>146</v>
      </c>
      <c r="H18" s="185">
        <v>132</v>
      </c>
      <c r="I18" s="350"/>
      <c r="J18" s="185">
        <v>132</v>
      </c>
      <c r="K18" s="185">
        <v>132</v>
      </c>
      <c r="L18" s="185">
        <v>132</v>
      </c>
      <c r="M18" s="185">
        <v>132</v>
      </c>
    </row>
    <row r="19" spans="1:13" s="186" customFormat="1" ht="17.100000000000001" customHeight="1">
      <c r="A19" s="242">
        <v>10</v>
      </c>
      <c r="B19" s="185" t="s">
        <v>103</v>
      </c>
      <c r="C19" s="185"/>
      <c r="D19" s="185"/>
      <c r="E19" s="185"/>
      <c r="F19" s="185">
        <v>4530</v>
      </c>
      <c r="G19" s="183">
        <f>4938+93+2</f>
        <v>5033</v>
      </c>
      <c r="H19" s="183">
        <f>2865+1214</f>
        <v>4079</v>
      </c>
      <c r="I19" s="185"/>
      <c r="J19" s="185">
        <f>SUM(H19-H19*29%)+693</f>
        <v>3589.09</v>
      </c>
      <c r="K19" s="185">
        <f>SUM(J19-J19*3%)-279</f>
        <v>3202.4173000000001</v>
      </c>
      <c r="L19" s="185">
        <f>SUM(K19-K19*3%)-173</f>
        <v>2933.3447810000002</v>
      </c>
      <c r="M19" s="185">
        <f>SUM(L19-L19*4%)-154</f>
        <v>2662.01098976</v>
      </c>
    </row>
    <row r="20" spans="1:13" s="186" customFormat="1" ht="17.100000000000001" customHeight="1">
      <c r="A20" s="242">
        <v>11</v>
      </c>
      <c r="B20" s="187" t="s">
        <v>104</v>
      </c>
      <c r="C20" s="187"/>
      <c r="D20" s="187"/>
      <c r="E20" s="187"/>
      <c r="F20" s="187">
        <f>F15+F16+F18+F19</f>
        <v>8073</v>
      </c>
      <c r="G20" s="187">
        <f>G15+G16+G18+G19</f>
        <v>7900</v>
      </c>
      <c r="H20" s="187">
        <f>H15+H16+H18+H19</f>
        <v>6879.2721921921921</v>
      </c>
      <c r="I20" s="187">
        <f t="shared" ref="I20:M20" si="1">I15+I16+I18+I19</f>
        <v>0</v>
      </c>
      <c r="J20" s="187">
        <f>J15+J16+J18+J19</f>
        <v>6706.4700961657909</v>
      </c>
      <c r="K20" s="187">
        <f t="shared" si="1"/>
        <v>6345.1854532832858</v>
      </c>
      <c r="L20" s="187">
        <f>L15+L16+L18+L19</f>
        <v>6082.6227116275222</v>
      </c>
      <c r="M20" s="187">
        <f t="shared" si="1"/>
        <v>5817.8768584765403</v>
      </c>
    </row>
    <row r="21" spans="1:13" s="186" customFormat="1" ht="17.100000000000001" customHeight="1">
      <c r="A21" s="242">
        <v>12</v>
      </c>
      <c r="B21" s="191" t="s">
        <v>105</v>
      </c>
      <c r="C21" s="191"/>
      <c r="D21" s="191"/>
      <c r="E21" s="191"/>
      <c r="F21" s="191">
        <v>40</v>
      </c>
      <c r="G21" s="191">
        <v>42</v>
      </c>
      <c r="H21" s="191">
        <v>32</v>
      </c>
      <c r="I21" s="192"/>
      <c r="J21" s="191">
        <f>SUM(H21+H21*27%)</f>
        <v>40.64</v>
      </c>
      <c r="K21" s="191">
        <f>SUM(J21+J21*1%)</f>
        <v>41.046399999999998</v>
      </c>
      <c r="L21" s="191">
        <f>SUM(K21+K21*1%)</f>
        <v>41.456863999999996</v>
      </c>
      <c r="M21" s="191">
        <f>SUM(L21+L21*2%)</f>
        <v>42.286001279999994</v>
      </c>
    </row>
    <row r="22" spans="1:13" s="186" customFormat="1" ht="17.100000000000001" customHeight="1">
      <c r="A22" s="242">
        <v>13</v>
      </c>
      <c r="B22" s="193" t="s">
        <v>106</v>
      </c>
      <c r="C22" s="193"/>
      <c r="D22" s="193"/>
      <c r="E22" s="193"/>
      <c r="F22" s="193">
        <f>F21+F20+F14</f>
        <v>11685</v>
      </c>
      <c r="G22" s="193">
        <f>G21+G20+G14</f>
        <v>11619</v>
      </c>
      <c r="H22" s="193">
        <f t="shared" ref="H22:M22" si="2">H21+H20+H14</f>
        <v>11147.272192192191</v>
      </c>
      <c r="I22" s="193">
        <f t="shared" si="2"/>
        <v>0</v>
      </c>
      <c r="J22" s="193">
        <f t="shared" si="2"/>
        <v>11147.11009616579</v>
      </c>
      <c r="K22" s="193">
        <f t="shared" si="2"/>
        <v>10955.231853283287</v>
      </c>
      <c r="L22" s="193">
        <f t="shared" si="2"/>
        <v>10866.079575627522</v>
      </c>
      <c r="M22" s="193">
        <f t="shared" si="2"/>
        <v>10777.16285975654</v>
      </c>
    </row>
    <row r="23" spans="1:13" s="186" customFormat="1" ht="17.100000000000001" customHeight="1">
      <c r="A23" s="242">
        <v>14</v>
      </c>
      <c r="B23" s="194" t="s">
        <v>107</v>
      </c>
      <c r="C23" s="185"/>
      <c r="D23" s="185"/>
      <c r="E23" s="185"/>
      <c r="F23" s="350"/>
      <c r="G23" s="185"/>
      <c r="H23" s="185"/>
      <c r="I23" s="350"/>
      <c r="J23" s="185"/>
      <c r="K23" s="185"/>
      <c r="L23" s="185"/>
      <c r="M23" s="185"/>
    </row>
    <row r="24" spans="1:13" s="186" customFormat="1" ht="17.100000000000001" customHeight="1">
      <c r="A24" s="242">
        <v>15</v>
      </c>
      <c r="B24" s="191" t="s">
        <v>87</v>
      </c>
      <c r="C24" s="191"/>
      <c r="D24" s="191"/>
      <c r="E24" s="191"/>
      <c r="F24" s="191">
        <v>9169</v>
      </c>
      <c r="G24" s="191">
        <v>9043</v>
      </c>
      <c r="H24" s="191">
        <v>8828</v>
      </c>
      <c r="I24" s="192"/>
      <c r="J24" s="191">
        <v>8840</v>
      </c>
      <c r="K24" s="191">
        <v>8862</v>
      </c>
      <c r="L24" s="191">
        <v>8884</v>
      </c>
      <c r="M24" s="191">
        <v>8906</v>
      </c>
    </row>
    <row r="25" spans="1:13" s="186" customFormat="1" ht="17.100000000000001" customHeight="1">
      <c r="A25" s="242">
        <v>16</v>
      </c>
      <c r="B25" s="191" t="s">
        <v>108</v>
      </c>
      <c r="C25" s="191"/>
      <c r="D25" s="191"/>
      <c r="E25" s="191"/>
      <c r="F25" s="191"/>
      <c r="G25" s="191"/>
      <c r="H25" s="191"/>
      <c r="I25" s="192"/>
      <c r="J25" s="191"/>
      <c r="K25" s="191"/>
      <c r="L25" s="191"/>
      <c r="M25" s="191"/>
    </row>
    <row r="26" spans="1:13" s="186" customFormat="1" ht="17.100000000000001" customHeight="1">
      <c r="A26" s="242">
        <v>17</v>
      </c>
      <c r="B26" s="189" t="s">
        <v>109</v>
      </c>
      <c r="C26" s="189"/>
      <c r="D26" s="189"/>
      <c r="E26" s="189"/>
      <c r="F26" s="189">
        <v>0</v>
      </c>
      <c r="G26" s="189">
        <v>0</v>
      </c>
      <c r="H26" s="189">
        <v>0</v>
      </c>
      <c r="I26" s="190"/>
      <c r="J26" s="189">
        <v>0</v>
      </c>
      <c r="K26" s="189">
        <v>0</v>
      </c>
      <c r="L26" s="189">
        <v>0</v>
      </c>
      <c r="M26" s="189">
        <v>0</v>
      </c>
    </row>
    <row r="27" spans="1:13" s="186" customFormat="1" ht="17.100000000000001" customHeight="1">
      <c r="A27" s="242">
        <v>18</v>
      </c>
      <c r="B27" s="191" t="s">
        <v>110</v>
      </c>
      <c r="C27" s="191"/>
      <c r="D27" s="191"/>
      <c r="E27" s="191"/>
      <c r="F27" s="191">
        <v>1680</v>
      </c>
      <c r="G27" s="191">
        <f>1651+23-56-20+10</f>
        <v>1608</v>
      </c>
      <c r="H27" s="191">
        <f>SUM(G27-200)</f>
        <v>1408</v>
      </c>
      <c r="I27" s="192"/>
      <c r="J27" s="191">
        <f>(H27-H27*1%)</f>
        <v>1393.92</v>
      </c>
      <c r="K27" s="191">
        <f>J27-J27*1%-200</f>
        <v>1179.9808</v>
      </c>
      <c r="L27" s="191">
        <f>K27-K27*1%-100</f>
        <v>1068.1809920000001</v>
      </c>
      <c r="M27" s="191">
        <f>L27-L27*1%-100</f>
        <v>957.49918208000008</v>
      </c>
    </row>
    <row r="28" spans="1:13" s="186" customFormat="1" ht="17.100000000000001" customHeight="1">
      <c r="A28" s="242">
        <v>19</v>
      </c>
      <c r="B28" s="189" t="s">
        <v>111</v>
      </c>
      <c r="C28" s="189"/>
      <c r="D28" s="189"/>
      <c r="E28" s="189"/>
      <c r="F28" s="189">
        <v>0</v>
      </c>
      <c r="G28" s="189">
        <v>0</v>
      </c>
      <c r="H28" s="189">
        <v>0</v>
      </c>
      <c r="I28" s="190"/>
      <c r="J28" s="189">
        <v>0</v>
      </c>
      <c r="K28" s="189">
        <v>0</v>
      </c>
      <c r="L28" s="189">
        <v>0</v>
      </c>
      <c r="M28" s="189">
        <v>0</v>
      </c>
    </row>
    <row r="29" spans="1:13" s="186" customFormat="1" ht="17.100000000000001" customHeight="1">
      <c r="A29" s="242">
        <v>20</v>
      </c>
      <c r="B29" s="183" t="s">
        <v>112</v>
      </c>
      <c r="C29" s="189"/>
      <c r="D29" s="189"/>
      <c r="E29" s="189"/>
      <c r="F29" s="183">
        <v>0</v>
      </c>
      <c r="G29" s="183">
        <v>0</v>
      </c>
      <c r="H29" s="183">
        <v>0</v>
      </c>
      <c r="I29" s="351"/>
      <c r="J29" s="183">
        <v>0</v>
      </c>
      <c r="K29" s="183">
        <v>0</v>
      </c>
      <c r="L29" s="183">
        <v>0</v>
      </c>
      <c r="M29" s="183">
        <v>0</v>
      </c>
    </row>
    <row r="30" spans="1:13" s="186" customFormat="1" ht="17.100000000000001" customHeight="1">
      <c r="A30" s="242">
        <v>21</v>
      </c>
      <c r="B30" s="191" t="s">
        <v>113</v>
      </c>
      <c r="C30" s="191"/>
      <c r="D30" s="191"/>
      <c r="E30" s="191"/>
      <c r="F30" s="191">
        <v>826</v>
      </c>
      <c r="G30" s="191">
        <f>764+55+139</f>
        <v>958</v>
      </c>
      <c r="H30" s="191">
        <v>900</v>
      </c>
      <c r="I30" s="192"/>
      <c r="J30" s="191">
        <v>900</v>
      </c>
      <c r="K30" s="191">
        <v>900</v>
      </c>
      <c r="L30" s="191">
        <v>900</v>
      </c>
      <c r="M30" s="191">
        <v>900</v>
      </c>
    </row>
    <row r="31" spans="1:13" s="186" customFormat="1" ht="17.100000000000001" customHeight="1">
      <c r="A31" s="242">
        <v>22</v>
      </c>
      <c r="B31" s="189" t="s">
        <v>101</v>
      </c>
      <c r="C31" s="189"/>
      <c r="D31" s="189"/>
      <c r="E31" s="189"/>
      <c r="F31" s="189">
        <v>267</v>
      </c>
      <c r="G31" s="189">
        <v>183</v>
      </c>
      <c r="H31" s="189">
        <v>167</v>
      </c>
      <c r="I31" s="190"/>
      <c r="J31" s="189">
        <v>167</v>
      </c>
      <c r="K31" s="189">
        <v>167</v>
      </c>
      <c r="L31" s="189">
        <v>167</v>
      </c>
      <c r="M31" s="189">
        <v>167</v>
      </c>
    </row>
    <row r="32" spans="1:13" s="186" customFormat="1" ht="17.100000000000001" customHeight="1">
      <c r="A32" s="242">
        <v>23</v>
      </c>
      <c r="B32" s="183" t="s">
        <v>114</v>
      </c>
      <c r="C32" s="189"/>
      <c r="D32" s="189"/>
      <c r="E32" s="189"/>
      <c r="F32" s="183">
        <f>F30</f>
        <v>826</v>
      </c>
      <c r="G32" s="183">
        <f>G30</f>
        <v>958</v>
      </c>
      <c r="H32" s="183">
        <f>H30</f>
        <v>900</v>
      </c>
      <c r="I32" s="351"/>
      <c r="J32" s="183">
        <f>J30</f>
        <v>900</v>
      </c>
      <c r="K32" s="183">
        <f>K30</f>
        <v>900</v>
      </c>
      <c r="L32" s="183">
        <f>L30</f>
        <v>900</v>
      </c>
      <c r="M32" s="183">
        <f>M30</f>
        <v>900</v>
      </c>
    </row>
    <row r="33" spans="1:16" s="186" customFormat="1" ht="17.100000000000001" customHeight="1">
      <c r="A33" s="242">
        <v>24</v>
      </c>
      <c r="B33" s="183" t="s">
        <v>115</v>
      </c>
      <c r="C33" s="183"/>
      <c r="D33" s="183"/>
      <c r="E33" s="183"/>
      <c r="F33" s="183"/>
      <c r="G33" s="183"/>
      <c r="H33" s="183"/>
      <c r="I33" s="351"/>
      <c r="J33" s="183"/>
      <c r="K33" s="183"/>
      <c r="L33" s="183"/>
      <c r="M33" s="183"/>
      <c r="N33" s="195"/>
      <c r="O33" s="195"/>
      <c r="P33" s="195"/>
    </row>
    <row r="34" spans="1:16" s="186" customFormat="1" ht="17.100000000000001" customHeight="1">
      <c r="A34" s="242">
        <v>25</v>
      </c>
      <c r="B34" s="191" t="s">
        <v>116</v>
      </c>
      <c r="C34" s="191"/>
      <c r="D34" s="191"/>
      <c r="E34" s="191"/>
      <c r="F34" s="191">
        <v>10</v>
      </c>
      <c r="G34" s="191">
        <v>10</v>
      </c>
      <c r="H34" s="191">
        <v>11</v>
      </c>
      <c r="I34" s="192"/>
      <c r="J34" s="191">
        <f>H34+H34*18%</f>
        <v>12.98</v>
      </c>
      <c r="K34" s="191">
        <f>SUM(J34+J34*2%)</f>
        <v>13.239600000000001</v>
      </c>
      <c r="L34" s="191">
        <f>SUM(K34+K34*1%)</f>
        <v>13.371996000000001</v>
      </c>
      <c r="M34" s="191">
        <f>L34+L34*1%</f>
        <v>13.505715960000002</v>
      </c>
    </row>
    <row r="35" spans="1:16" s="186" customFormat="1" ht="17.100000000000001" customHeight="1">
      <c r="A35" s="243">
        <v>26</v>
      </c>
      <c r="B35" s="193" t="s">
        <v>117</v>
      </c>
      <c r="C35" s="193"/>
      <c r="D35" s="193"/>
      <c r="E35" s="193"/>
      <c r="F35" s="193">
        <f>F24+F25+F27+F30+F34</f>
        <v>11685</v>
      </c>
      <c r="G35" s="193">
        <f>G24+G25+G27+G30+G34</f>
        <v>11619</v>
      </c>
      <c r="H35" s="193">
        <f>H24+H25+H27+H30+H34</f>
        <v>11147</v>
      </c>
      <c r="I35" s="193">
        <f t="shared" ref="I35" si="3">I24+I25+I27+I30+I34</f>
        <v>0</v>
      </c>
      <c r="J35" s="193">
        <f>J24+J25+J27+J30+J34</f>
        <v>11146.9</v>
      </c>
      <c r="K35" s="193">
        <f>K24+K25+K27+K30+K34</f>
        <v>10955.2204</v>
      </c>
      <c r="L35" s="193">
        <f>L24+L25+L27+L30+L34</f>
        <v>10865.552987999999</v>
      </c>
      <c r="M35" s="193">
        <f>M24+M25+M27+M30+M34</f>
        <v>10777.004898040001</v>
      </c>
    </row>
    <row r="36" spans="1:16" s="186" customFormat="1">
      <c r="A36" s="352"/>
      <c r="B36" s="350"/>
      <c r="C36" s="350"/>
      <c r="D36" s="350"/>
      <c r="E36" s="350"/>
      <c r="F36" s="350"/>
      <c r="G36" s="350"/>
      <c r="H36" s="350"/>
      <c r="I36" s="350"/>
      <c r="J36" s="350"/>
      <c r="K36" s="350"/>
      <c r="L36" s="350"/>
      <c r="M36" s="184"/>
    </row>
    <row r="37" spans="1:16" s="186" customFormat="1" ht="7.5" customHeight="1">
      <c r="A37" s="244"/>
    </row>
    <row r="38" spans="1:16" s="186" customFormat="1">
      <c r="A38" s="245">
        <v>27</v>
      </c>
      <c r="B38" s="196" t="s">
        <v>140</v>
      </c>
      <c r="C38" s="197"/>
      <c r="D38" s="197"/>
      <c r="E38" s="197"/>
      <c r="F38" s="198">
        <f>(F19+F16)/(F27+F30)*100</f>
        <v>316.12130885873904</v>
      </c>
      <c r="G38" s="198">
        <f>(G16+G19)/(G27+G30)*100</f>
        <v>301.98752922837099</v>
      </c>
      <c r="H38" s="198">
        <f>(H16+H19)/(H27+H30)*100</f>
        <v>292.03952305858718</v>
      </c>
      <c r="I38" s="198" t="e">
        <f t="shared" ref="I38" si="4">I19+I16/I32</f>
        <v>#DIV/0!</v>
      </c>
      <c r="J38" s="198">
        <f>(J16+J19)/(J27+J30)*100</f>
        <v>286.29900328545858</v>
      </c>
      <c r="K38" s="198">
        <f>(K16+K19)/(K27+K30)*100</f>
        <v>298.37705488835689</v>
      </c>
      <c r="L38" s="198">
        <f>(L16+L19)/(L27+L30)*100</f>
        <v>301.98557631571322</v>
      </c>
      <c r="M38" s="198">
        <f>(M16+M19)/(M27+M30)*100</f>
        <v>305.72701798540862</v>
      </c>
    </row>
    <row r="39" spans="1:16">
      <c r="A39" s="228"/>
      <c r="H39" s="186"/>
    </row>
    <row r="40" spans="1:16" ht="12.75" customHeight="1">
      <c r="B40" s="460" t="s">
        <v>141</v>
      </c>
      <c r="C40" s="460"/>
      <c r="D40" s="460"/>
      <c r="E40" s="460"/>
      <c r="F40" s="460"/>
      <c r="G40" s="460"/>
      <c r="H40" s="460"/>
      <c r="I40" s="460"/>
      <c r="J40" s="460"/>
      <c r="K40" s="460"/>
      <c r="L40" s="460"/>
      <c r="M40" s="460"/>
    </row>
    <row r="41" spans="1:16">
      <c r="B41" s="460"/>
      <c r="C41" s="460"/>
      <c r="D41" s="460"/>
      <c r="E41" s="460"/>
      <c r="F41" s="460"/>
      <c r="G41" s="460"/>
      <c r="H41" s="460"/>
      <c r="I41" s="460"/>
      <c r="J41" s="460"/>
      <c r="K41" s="460"/>
      <c r="L41" s="460"/>
      <c r="M41" s="460"/>
    </row>
    <row r="42" spans="1:16" ht="0.75" customHeight="1">
      <c r="B42" s="460"/>
      <c r="C42" s="460"/>
      <c r="D42" s="460"/>
      <c r="E42" s="460"/>
      <c r="F42" s="460"/>
      <c r="G42" s="460"/>
      <c r="H42" s="460"/>
      <c r="I42" s="460"/>
      <c r="J42" s="460"/>
      <c r="K42" s="460"/>
      <c r="L42" s="460"/>
      <c r="M42" s="460"/>
    </row>
    <row r="43" spans="1:16">
      <c r="B43" s="255"/>
      <c r="C43" s="255"/>
      <c r="D43" s="255"/>
      <c r="E43" s="255"/>
      <c r="F43" s="255"/>
      <c r="G43" s="255"/>
      <c r="H43" s="255"/>
      <c r="I43" s="255"/>
      <c r="J43" s="255"/>
      <c r="K43" s="255"/>
      <c r="L43" s="255"/>
      <c r="M43" s="255"/>
    </row>
  </sheetData>
  <mergeCells count="7">
    <mergeCell ref="D5:M5"/>
    <mergeCell ref="A8:A9"/>
    <mergeCell ref="A4:M4"/>
    <mergeCell ref="A5:C5"/>
    <mergeCell ref="B40:M42"/>
    <mergeCell ref="J6:K6"/>
    <mergeCell ref="L6:M6"/>
  </mergeCells>
  <pageMargins left="0.70866141732283472" right="0.70866141732283472" top="0.78740157480314965" bottom="0.78740157480314965" header="0.31496062992125984" footer="0.31496062992125984"/>
  <pageSetup paperSize="9" scale="75" orientation="landscape" r:id="rId1"/>
  <headerFooter>
    <oddHeader>&amp;LWirtschaftsplan für Eigenbetriebe und Museumsstiftungen
5. Planbilanz&amp;RBlatt 6</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Deckblatt</vt:lpstr>
      <vt:lpstr>Erfolgsplan</vt:lpstr>
      <vt:lpstr>Vermögensplan</vt:lpstr>
      <vt:lpstr>Personalplan</vt:lpstr>
      <vt:lpstr>Investitionsplan</vt:lpstr>
      <vt:lpstr>Planbilanz</vt:lpstr>
      <vt:lpstr>Investitionsplan!Druckbereich</vt:lpstr>
      <vt:lpstr>Personalplan!Druckbereich</vt:lpstr>
      <vt:lpstr>Deckblatt!Print_Area</vt:lpstr>
      <vt:lpstr>Erfolgsplan!Print_Area</vt:lpstr>
      <vt:lpstr>Investitionsplan!Print_Area</vt:lpstr>
      <vt:lpstr>Vermögensplan!Print_Area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2018-05-22T14:21:29Z</dcterms:created>
  <dcterms:modified xsi:type="dcterms:W3CDTF">2018-05-22T14:21:35Z</dcterms:modified>
</cp:coreProperties>
</file>