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210" windowWidth="24915" windowHeight="12015" firstSheet="15" activeTab="17"/>
  </bookViews>
  <sheets>
    <sheet name="Deckblatt" sheetId="13" r:id="rId1"/>
    <sheet name="UBB_gesamt" sheetId="1" r:id="rId2"/>
    <sheet name="Sparte Grün" sheetId="2" r:id="rId3"/>
    <sheet name="Planung+Bau" sheetId="3" r:id="rId4"/>
    <sheet name="Grünunterhaltg" sheetId="4" r:id="rId5"/>
    <sheet name="Behofgri+Fläch+Gebä" sheetId="5" r:id="rId6"/>
    <sheet name="Friedhöfe+Krema" sheetId="6" r:id="rId7"/>
    <sheet name="St.Reinigung" sheetId="7" r:id="rId8"/>
    <sheet name="Kundenmanagem" sheetId="8" r:id="rId9"/>
    <sheet name="Deponie" sheetId="9" r:id="rId10"/>
    <sheet name="St.Entwässerung" sheetId="10" r:id="rId11"/>
    <sheet name="Zentr.Dienste" sheetId="11" r:id="rId12"/>
    <sheet name="Standortkonzept" sheetId="12" r:id="rId13"/>
    <sheet name="Vermögensplan" sheetId="14" r:id="rId14"/>
    <sheet name="Personalplan" sheetId="16" r:id="rId15"/>
    <sheet name="Personalplan bereichsbezogen" sheetId="15" r:id="rId16"/>
    <sheet name="Investitionsplan" sheetId="17" r:id="rId17"/>
    <sheet name="Planbilanz" sheetId="18" r:id="rId18"/>
  </sheets>
  <calcPr calcId="145621"/>
</workbook>
</file>

<file path=xl/calcChain.xml><?xml version="1.0" encoding="utf-8"?>
<calcChain xmlns="http://schemas.openxmlformats.org/spreadsheetml/2006/main">
  <c r="F11" i="18" l="1"/>
  <c r="G11" i="18"/>
  <c r="H11" i="18"/>
  <c r="I11" i="18"/>
  <c r="J11" i="18"/>
  <c r="K11" i="18"/>
  <c r="L11" i="18"/>
  <c r="M11" i="18"/>
  <c r="F17" i="18"/>
  <c r="G17" i="18"/>
  <c r="H17" i="18"/>
  <c r="I17" i="18"/>
  <c r="J17" i="18"/>
  <c r="K17" i="18"/>
  <c r="L17" i="18"/>
  <c r="M17" i="18"/>
  <c r="F19" i="18"/>
  <c r="G19" i="18"/>
  <c r="H19" i="18"/>
  <c r="I19" i="18"/>
  <c r="J19" i="18"/>
  <c r="K19" i="18"/>
  <c r="L19" i="18"/>
  <c r="M19" i="18"/>
  <c r="F32" i="18"/>
  <c r="G32" i="18"/>
  <c r="H32" i="18"/>
  <c r="I32" i="18"/>
  <c r="J32" i="18"/>
  <c r="K32" i="18"/>
  <c r="L32" i="18"/>
  <c r="M32" i="18"/>
  <c r="G75" i="15" l="1"/>
  <c r="F75" i="15"/>
  <c r="E75" i="15"/>
  <c r="D75" i="15"/>
  <c r="C75" i="15"/>
  <c r="G67" i="15"/>
  <c r="F67" i="15"/>
  <c r="E67" i="15"/>
  <c r="D67" i="15"/>
  <c r="C67" i="15"/>
  <c r="G59" i="15"/>
  <c r="F59" i="15"/>
  <c r="E59" i="15"/>
  <c r="D59" i="15"/>
  <c r="C59" i="15"/>
  <c r="G51" i="15"/>
  <c r="F51" i="15"/>
  <c r="E51" i="15"/>
  <c r="D51" i="15"/>
  <c r="C51" i="15"/>
  <c r="G43" i="15"/>
  <c r="F43" i="15"/>
  <c r="E43" i="15"/>
  <c r="D43" i="15"/>
  <c r="C43" i="15"/>
  <c r="G35" i="15"/>
  <c r="F35" i="15"/>
  <c r="E35" i="15"/>
  <c r="D35" i="15"/>
  <c r="C35" i="15"/>
  <c r="F24" i="15"/>
  <c r="G22" i="15"/>
  <c r="G24" i="15" s="1"/>
  <c r="F22" i="15"/>
  <c r="E22" i="15"/>
  <c r="D22" i="15"/>
  <c r="C22" i="15"/>
  <c r="C24" i="15" s="1"/>
  <c r="G15" i="15"/>
  <c r="F15" i="15"/>
  <c r="E15" i="15"/>
  <c r="E24" i="15" s="1"/>
  <c r="D15" i="15"/>
  <c r="D24" i="15" s="1"/>
  <c r="C15" i="15"/>
  <c r="G8" i="15"/>
  <c r="F8" i="15"/>
  <c r="E8" i="15"/>
  <c r="D8" i="15"/>
  <c r="C8" i="15"/>
  <c r="J21" i="14" l="1"/>
  <c r="J27" i="14" s="1"/>
  <c r="I21" i="14"/>
  <c r="I27" i="14" s="1"/>
  <c r="H21" i="14"/>
  <c r="H27" i="14" s="1"/>
  <c r="G21" i="14"/>
  <c r="G27" i="14" s="1"/>
  <c r="F21" i="14"/>
  <c r="F27" i="14" s="1"/>
  <c r="E21" i="14"/>
  <c r="E27" i="14" s="1"/>
  <c r="D21" i="14"/>
  <c r="D27" i="14" s="1"/>
  <c r="C21" i="14"/>
  <c r="C27" i="14" s="1"/>
  <c r="J6" i="14"/>
  <c r="J14" i="14" s="1"/>
  <c r="I6" i="14"/>
  <c r="I14" i="14" s="1"/>
  <c r="H6" i="14"/>
  <c r="H14" i="14" s="1"/>
  <c r="G6" i="14"/>
  <c r="G14" i="14" s="1"/>
  <c r="F6" i="14"/>
  <c r="F14" i="14" s="1"/>
  <c r="E6" i="14"/>
  <c r="E14" i="14" s="1"/>
  <c r="D6" i="14"/>
  <c r="D14" i="14" s="1"/>
  <c r="C6" i="14"/>
  <c r="C14" i="14" s="1"/>
  <c r="M70" i="17" l="1"/>
  <c r="L70" i="17"/>
  <c r="K70" i="17"/>
  <c r="J70" i="17"/>
  <c r="I70" i="17"/>
  <c r="H70" i="17"/>
  <c r="G70" i="17"/>
  <c r="F70" i="17"/>
  <c r="M69" i="17"/>
  <c r="L69" i="17"/>
  <c r="K69" i="17"/>
  <c r="J69" i="17"/>
  <c r="I69" i="17"/>
  <c r="H69" i="17"/>
  <c r="G69" i="17"/>
  <c r="F69" i="17"/>
  <c r="M68" i="17"/>
  <c r="L68" i="17"/>
  <c r="K68" i="17"/>
  <c r="J68" i="17"/>
  <c r="I68" i="17"/>
  <c r="H68" i="17"/>
  <c r="G68" i="17"/>
  <c r="F68" i="17"/>
  <c r="M67" i="17"/>
  <c r="L67" i="17"/>
  <c r="K67" i="17"/>
  <c r="J67" i="17"/>
  <c r="I67" i="17"/>
  <c r="H67" i="17"/>
  <c r="G67" i="17"/>
  <c r="F67" i="17"/>
  <c r="M66" i="17"/>
  <c r="L66" i="17"/>
  <c r="K66" i="17"/>
  <c r="J66" i="17"/>
  <c r="I66" i="17"/>
  <c r="H66" i="17"/>
  <c r="G66" i="17"/>
  <c r="F66" i="17"/>
  <c r="M65" i="17"/>
  <c r="L65" i="17"/>
  <c r="K65" i="17"/>
  <c r="J65" i="17"/>
  <c r="I65" i="17"/>
  <c r="H65" i="17"/>
  <c r="G65" i="17"/>
  <c r="F65" i="17"/>
  <c r="M64" i="17"/>
  <c r="L64" i="17"/>
  <c r="K64" i="17"/>
  <c r="J64" i="17"/>
  <c r="I64" i="17"/>
  <c r="H64" i="17"/>
  <c r="G64" i="17"/>
  <c r="F64" i="17"/>
  <c r="M62" i="17"/>
  <c r="L62" i="17"/>
  <c r="K62" i="17"/>
  <c r="J62" i="17"/>
  <c r="I62" i="17"/>
  <c r="H62" i="17"/>
  <c r="G62" i="17"/>
  <c r="F62" i="17"/>
  <c r="M60" i="17"/>
  <c r="L60" i="17"/>
  <c r="K60" i="17"/>
  <c r="J60" i="17"/>
  <c r="I60" i="17"/>
  <c r="H60" i="17"/>
  <c r="G60" i="17"/>
  <c r="F60" i="17"/>
  <c r="M57" i="17"/>
  <c r="L57" i="17"/>
  <c r="K57" i="17"/>
  <c r="J57" i="17"/>
  <c r="I57" i="17"/>
  <c r="H57" i="17"/>
  <c r="G57" i="17"/>
  <c r="F57" i="17"/>
  <c r="M50" i="17"/>
  <c r="L50" i="17"/>
  <c r="K50" i="17"/>
  <c r="J50" i="17"/>
  <c r="I50" i="17"/>
  <c r="H50" i="17"/>
  <c r="G50" i="17"/>
  <c r="F50" i="17"/>
  <c r="M42" i="17"/>
  <c r="M54" i="17" s="1"/>
  <c r="L42" i="17"/>
  <c r="L54" i="17" s="1"/>
  <c r="K42" i="17"/>
  <c r="K54" i="17" s="1"/>
  <c r="J42" i="17"/>
  <c r="J54" i="17" s="1"/>
  <c r="I42" i="17"/>
  <c r="I54" i="17" s="1"/>
  <c r="H42" i="17"/>
  <c r="G42" i="17"/>
  <c r="G54" i="17" s="1"/>
  <c r="F42" i="17"/>
  <c r="F54" i="17" s="1"/>
  <c r="M39" i="17"/>
  <c r="L39" i="17"/>
  <c r="K39" i="17"/>
  <c r="J39" i="17"/>
  <c r="I39" i="17"/>
  <c r="H39" i="17"/>
  <c r="G39" i="17"/>
  <c r="F39" i="17"/>
  <c r="M9" i="17"/>
  <c r="M72" i="17" s="1"/>
  <c r="L9" i="17"/>
  <c r="K9" i="17"/>
  <c r="K72" i="17" s="1"/>
  <c r="J9" i="17"/>
  <c r="J72" i="17" s="1"/>
  <c r="I9" i="17"/>
  <c r="I72" i="17" s="1"/>
  <c r="H9" i="17"/>
  <c r="G9" i="17"/>
  <c r="G72" i="17" s="1"/>
  <c r="F9" i="17"/>
  <c r="F72" i="17" s="1"/>
  <c r="H54" i="17" l="1"/>
  <c r="H72" i="17"/>
  <c r="L72" i="17"/>
  <c r="H30" i="1"/>
  <c r="G30" i="1"/>
  <c r="I30" i="1"/>
  <c r="M39" i="1" l="1"/>
  <c r="L39" i="1"/>
  <c r="K39" i="1"/>
  <c r="J39" i="1"/>
  <c r="I39" i="1"/>
  <c r="H39" i="1"/>
  <c r="G39" i="1"/>
  <c r="F39" i="1"/>
  <c r="E39" i="1"/>
  <c r="D39" i="1"/>
  <c r="C39" i="1"/>
  <c r="M38" i="1"/>
  <c r="L38" i="1"/>
  <c r="K38" i="1"/>
  <c r="J38" i="1"/>
  <c r="I38" i="1"/>
  <c r="H38" i="1"/>
  <c r="G38" i="1"/>
  <c r="F38" i="1"/>
  <c r="E38" i="1"/>
  <c r="D38" i="1"/>
  <c r="C38" i="1"/>
  <c r="C35" i="1"/>
  <c r="D35" i="1"/>
  <c r="E35" i="1"/>
  <c r="F35" i="1"/>
  <c r="G35" i="1"/>
  <c r="H35" i="1"/>
  <c r="I35" i="1"/>
  <c r="J35" i="1"/>
  <c r="K35" i="1"/>
  <c r="L35" i="1"/>
  <c r="M35" i="1"/>
  <c r="M34" i="1"/>
  <c r="L34" i="1"/>
  <c r="K34" i="1"/>
  <c r="J34" i="1"/>
  <c r="I34" i="1"/>
  <c r="H34" i="1"/>
  <c r="F34" i="1"/>
  <c r="E34" i="1"/>
  <c r="D34" i="1"/>
  <c r="C34" i="1"/>
  <c r="M30" i="1"/>
  <c r="L30" i="1"/>
  <c r="K30" i="1"/>
  <c r="J30" i="1"/>
  <c r="F30" i="1"/>
  <c r="E30" i="1"/>
  <c r="D30" i="1"/>
  <c r="M29" i="1"/>
  <c r="L29" i="1"/>
  <c r="K29" i="1"/>
  <c r="J29" i="1"/>
  <c r="I29" i="1"/>
  <c r="H29" i="1"/>
  <c r="G29" i="1"/>
  <c r="F29" i="1"/>
  <c r="E29" i="1"/>
  <c r="D29" i="1"/>
  <c r="M28" i="1"/>
  <c r="L28" i="1"/>
  <c r="K28" i="1"/>
  <c r="J28" i="1"/>
  <c r="I28" i="1"/>
  <c r="H28" i="1"/>
  <c r="G28" i="1"/>
  <c r="F28" i="1"/>
  <c r="E28" i="1"/>
  <c r="D28" i="1"/>
  <c r="M27" i="1"/>
  <c r="L27" i="1"/>
  <c r="K27" i="1"/>
  <c r="J27" i="1"/>
  <c r="I27" i="1"/>
  <c r="H27" i="1"/>
  <c r="G27" i="1"/>
  <c r="F27" i="1"/>
  <c r="E27" i="1"/>
  <c r="D27" i="1"/>
  <c r="M26" i="1"/>
  <c r="L26" i="1"/>
  <c r="K26" i="1"/>
  <c r="J26" i="1"/>
  <c r="I26" i="1"/>
  <c r="H26" i="1"/>
  <c r="G26" i="1"/>
  <c r="F26" i="1"/>
  <c r="E26" i="1"/>
  <c r="D26" i="1"/>
  <c r="M25" i="1"/>
  <c r="L25" i="1"/>
  <c r="K25" i="1"/>
  <c r="J25" i="1"/>
  <c r="I25" i="1"/>
  <c r="H25" i="1"/>
  <c r="G25" i="1"/>
  <c r="F25" i="1"/>
  <c r="E25" i="1"/>
  <c r="D25" i="1"/>
  <c r="M24" i="1"/>
  <c r="L24" i="1"/>
  <c r="K24" i="1"/>
  <c r="J24" i="1"/>
  <c r="I24" i="1"/>
  <c r="H24" i="1"/>
  <c r="G24" i="1"/>
  <c r="F24" i="1"/>
  <c r="E24" i="1"/>
  <c r="D24" i="1"/>
  <c r="C25" i="1"/>
  <c r="C26" i="1"/>
  <c r="C27" i="1"/>
  <c r="C28" i="1"/>
  <c r="C29" i="1"/>
  <c r="C30" i="1"/>
  <c r="C24" i="1"/>
  <c r="D20" i="1"/>
  <c r="E20" i="1"/>
  <c r="F20" i="1"/>
  <c r="G20" i="1"/>
  <c r="H20" i="1"/>
  <c r="I20" i="1"/>
  <c r="J20" i="1"/>
  <c r="K20" i="1"/>
  <c r="L20" i="1"/>
  <c r="M20" i="1"/>
  <c r="D21" i="1"/>
  <c r="G21" i="1"/>
  <c r="H21" i="1"/>
  <c r="I21" i="1"/>
  <c r="D22" i="1"/>
  <c r="E22" i="1"/>
  <c r="F22" i="1"/>
  <c r="G22" i="1"/>
  <c r="H22" i="1"/>
  <c r="I22" i="1"/>
  <c r="J22" i="1"/>
  <c r="K22" i="1"/>
  <c r="L22" i="1"/>
  <c r="M22" i="1"/>
  <c r="C21" i="1"/>
  <c r="C22" i="1"/>
  <c r="C20" i="1"/>
  <c r="C19" i="1"/>
  <c r="D18" i="1"/>
  <c r="E18" i="1"/>
  <c r="F18" i="1"/>
  <c r="G18" i="1"/>
  <c r="H18" i="1"/>
  <c r="I18" i="1"/>
  <c r="J18" i="1"/>
  <c r="K18" i="1"/>
  <c r="L18" i="1"/>
  <c r="M18" i="1"/>
  <c r="C18" i="1"/>
  <c r="D17" i="1"/>
  <c r="E17" i="1"/>
  <c r="F17" i="1"/>
  <c r="G17" i="1"/>
  <c r="G11" i="1" s="1"/>
  <c r="H17" i="1"/>
  <c r="I17" i="1"/>
  <c r="J17" i="1"/>
  <c r="K17" i="1"/>
  <c r="L17" i="1"/>
  <c r="M17" i="1"/>
  <c r="C17" i="1"/>
  <c r="D16" i="1"/>
  <c r="E16" i="1"/>
  <c r="F16" i="1"/>
  <c r="G16" i="1"/>
  <c r="H16" i="1"/>
  <c r="I16" i="1"/>
  <c r="J16" i="1"/>
  <c r="K16" i="1"/>
  <c r="L16" i="1"/>
  <c r="M16" i="1"/>
  <c r="C16" i="1"/>
  <c r="D15" i="1"/>
  <c r="E15" i="1"/>
  <c r="F15" i="1"/>
  <c r="G15" i="1"/>
  <c r="H15" i="1"/>
  <c r="I15" i="1"/>
  <c r="J15" i="1"/>
  <c r="K15" i="1"/>
  <c r="L15" i="1"/>
  <c r="M15" i="1"/>
  <c r="C15" i="1"/>
  <c r="D14" i="1"/>
  <c r="E14" i="1"/>
  <c r="F14" i="1"/>
  <c r="G14" i="1"/>
  <c r="H14" i="1"/>
  <c r="I14" i="1"/>
  <c r="J14" i="1"/>
  <c r="K14" i="1"/>
  <c r="L14" i="1"/>
  <c r="M14" i="1"/>
  <c r="C14" i="1"/>
  <c r="D13" i="1"/>
  <c r="E13" i="1"/>
  <c r="F13" i="1"/>
  <c r="G13" i="1"/>
  <c r="H13" i="1"/>
  <c r="I13" i="1"/>
  <c r="J13" i="1"/>
  <c r="K13" i="1"/>
  <c r="L13" i="1"/>
  <c r="M13" i="1"/>
  <c r="C13" i="1"/>
  <c r="D12" i="1"/>
  <c r="E12" i="1"/>
  <c r="F12" i="1"/>
  <c r="G12" i="1"/>
  <c r="H12" i="1"/>
  <c r="I12" i="1"/>
  <c r="J12" i="1"/>
  <c r="K12" i="1"/>
  <c r="L12" i="1"/>
  <c r="M12" i="1"/>
  <c r="C12" i="1"/>
  <c r="K11" i="1" l="1"/>
  <c r="I11" i="1"/>
  <c r="J11" i="1"/>
  <c r="F11" i="1"/>
  <c r="M11" i="1"/>
  <c r="E11" i="1"/>
  <c r="L11" i="1"/>
  <c r="H11" i="1"/>
  <c r="D11" i="1"/>
  <c r="D35" i="2"/>
  <c r="E35" i="2"/>
  <c r="F35" i="2"/>
  <c r="G35" i="2"/>
  <c r="H35" i="2"/>
  <c r="I35" i="2"/>
  <c r="J35" i="2"/>
  <c r="K35" i="2"/>
  <c r="L35" i="2"/>
  <c r="M35" i="2"/>
  <c r="D36" i="2"/>
  <c r="E36" i="2"/>
  <c r="F36" i="2"/>
  <c r="G36" i="2"/>
  <c r="H36" i="2"/>
  <c r="I36" i="2"/>
  <c r="J36" i="2"/>
  <c r="K36" i="2"/>
  <c r="L36" i="2"/>
  <c r="M36" i="2"/>
  <c r="C36" i="2"/>
  <c r="C35" i="2"/>
  <c r="D31" i="2"/>
  <c r="E31" i="2"/>
  <c r="F31" i="2"/>
  <c r="G31" i="2"/>
  <c r="G34" i="1" s="1"/>
  <c r="H31" i="2"/>
  <c r="I31" i="2"/>
  <c r="J31" i="2"/>
  <c r="K31" i="2"/>
  <c r="L31" i="2"/>
  <c r="M31" i="2"/>
  <c r="D32" i="2"/>
  <c r="E32" i="2"/>
  <c r="F32" i="2"/>
  <c r="G32" i="2"/>
  <c r="H32" i="2"/>
  <c r="I32" i="2"/>
  <c r="J32" i="2"/>
  <c r="K32" i="2"/>
  <c r="L32" i="2"/>
  <c r="M32" i="2"/>
  <c r="C32" i="2"/>
  <c r="C31" i="2"/>
  <c r="D21" i="2"/>
  <c r="E21" i="2"/>
  <c r="F21" i="2"/>
  <c r="G21" i="2"/>
  <c r="H21" i="2"/>
  <c r="I21" i="2"/>
  <c r="J21" i="2"/>
  <c r="K21" i="2"/>
  <c r="L21" i="2"/>
  <c r="M21" i="2"/>
  <c r="D22" i="2"/>
  <c r="E22" i="2"/>
  <c r="F22" i="2"/>
  <c r="G22" i="2"/>
  <c r="H22" i="2"/>
  <c r="I22" i="2"/>
  <c r="J22" i="2"/>
  <c r="K22" i="2"/>
  <c r="L22" i="2"/>
  <c r="M22" i="2"/>
  <c r="D23" i="2"/>
  <c r="E23" i="2"/>
  <c r="F23" i="2"/>
  <c r="G23" i="2"/>
  <c r="H23" i="2"/>
  <c r="I23" i="2"/>
  <c r="J23" i="2"/>
  <c r="K23" i="2"/>
  <c r="L23" i="2"/>
  <c r="M23" i="2"/>
  <c r="D24" i="2"/>
  <c r="E24" i="2"/>
  <c r="F24" i="2"/>
  <c r="G24" i="2"/>
  <c r="H24" i="2"/>
  <c r="I24" i="2"/>
  <c r="J24" i="2"/>
  <c r="K24" i="2"/>
  <c r="L24" i="2"/>
  <c r="M24" i="2"/>
  <c r="D25" i="2"/>
  <c r="E25" i="2"/>
  <c r="F25" i="2"/>
  <c r="G25" i="2"/>
  <c r="H25" i="2"/>
  <c r="I25" i="2"/>
  <c r="J25" i="2"/>
  <c r="K25" i="2"/>
  <c r="L25" i="2"/>
  <c r="M25" i="2"/>
  <c r="D26" i="2"/>
  <c r="E26" i="2"/>
  <c r="F26" i="2"/>
  <c r="G26" i="2"/>
  <c r="H26" i="2"/>
  <c r="I26" i="2"/>
  <c r="J26" i="2"/>
  <c r="K26" i="2"/>
  <c r="L26" i="2"/>
  <c r="M26" i="2"/>
  <c r="D27" i="2"/>
  <c r="E27" i="2"/>
  <c r="F27" i="2"/>
  <c r="G27" i="2"/>
  <c r="H27" i="2"/>
  <c r="I27" i="2"/>
  <c r="J27" i="2"/>
  <c r="K27" i="2"/>
  <c r="L27" i="2"/>
  <c r="M27" i="2"/>
  <c r="C22" i="2"/>
  <c r="C23" i="2"/>
  <c r="C24" i="2"/>
  <c r="C25" i="2"/>
  <c r="C26" i="2"/>
  <c r="C27" i="2"/>
  <c r="C21" i="2"/>
  <c r="D17" i="2"/>
  <c r="E17" i="2"/>
  <c r="F17" i="2"/>
  <c r="G17" i="2"/>
  <c r="H17" i="2"/>
  <c r="I17" i="2"/>
  <c r="J17" i="2"/>
  <c r="K17" i="2"/>
  <c r="L17" i="2"/>
  <c r="M17" i="2"/>
  <c r="D18" i="2"/>
  <c r="E18" i="2"/>
  <c r="E21" i="1" s="1"/>
  <c r="F18" i="2"/>
  <c r="F21" i="1" s="1"/>
  <c r="G18" i="2"/>
  <c r="H18" i="2"/>
  <c r="I18" i="2"/>
  <c r="J18" i="2"/>
  <c r="J21" i="1" s="1"/>
  <c r="K18" i="2"/>
  <c r="K21" i="1" s="1"/>
  <c r="L18" i="2"/>
  <c r="L21" i="1" s="1"/>
  <c r="M18" i="2"/>
  <c r="M21" i="1" s="1"/>
  <c r="D19" i="2"/>
  <c r="E19" i="2"/>
  <c r="F19" i="2"/>
  <c r="G19" i="2"/>
  <c r="H19" i="2"/>
  <c r="I19" i="2"/>
  <c r="J19" i="2"/>
  <c r="K19" i="2"/>
  <c r="L19" i="2"/>
  <c r="M19" i="2"/>
  <c r="C18" i="2"/>
  <c r="C19" i="2"/>
  <c r="C17" i="2"/>
  <c r="D14" i="7"/>
  <c r="E14" i="7"/>
  <c r="F14" i="7"/>
  <c r="G14" i="7"/>
  <c r="H14" i="7"/>
  <c r="I14" i="7"/>
  <c r="J14" i="7"/>
  <c r="K14" i="7"/>
  <c r="L14" i="7"/>
  <c r="M14" i="7"/>
  <c r="C14" i="7"/>
  <c r="D14" i="5"/>
  <c r="E14" i="5"/>
  <c r="F14" i="5"/>
  <c r="G14" i="5"/>
  <c r="H14" i="5"/>
  <c r="I14" i="5"/>
  <c r="J14" i="5"/>
  <c r="K14" i="5"/>
  <c r="L14" i="5"/>
  <c r="M14" i="5"/>
  <c r="C14" i="5"/>
  <c r="D16" i="4"/>
  <c r="E16" i="4"/>
  <c r="F16" i="4"/>
  <c r="G16" i="4"/>
  <c r="H16" i="4"/>
  <c r="I16" i="4"/>
  <c r="J16" i="4"/>
  <c r="K16" i="4"/>
  <c r="L16" i="4"/>
  <c r="M16" i="4"/>
  <c r="C16" i="4"/>
  <c r="C16" i="2"/>
  <c r="D15" i="2"/>
  <c r="E15" i="2"/>
  <c r="F15" i="2"/>
  <c r="G15" i="2"/>
  <c r="H15" i="2"/>
  <c r="I15" i="2"/>
  <c r="J15" i="2"/>
  <c r="K15" i="2"/>
  <c r="L15" i="2"/>
  <c r="M15" i="2"/>
  <c r="C15" i="2"/>
  <c r="D14" i="2"/>
  <c r="E14" i="2"/>
  <c r="F14" i="2"/>
  <c r="G14" i="2"/>
  <c r="H14" i="2"/>
  <c r="I14" i="2"/>
  <c r="J14" i="2"/>
  <c r="K14" i="2"/>
  <c r="L14" i="2"/>
  <c r="M14" i="2"/>
  <c r="C14" i="2"/>
  <c r="D13" i="2"/>
  <c r="E13" i="2"/>
  <c r="F13" i="2"/>
  <c r="G13" i="2"/>
  <c r="H13" i="2"/>
  <c r="I13" i="2"/>
  <c r="J13" i="2"/>
  <c r="K13" i="2"/>
  <c r="L13" i="2"/>
  <c r="M13" i="2"/>
  <c r="C13" i="2"/>
  <c r="D12" i="2"/>
  <c r="E12" i="2"/>
  <c r="F12" i="2"/>
  <c r="G12" i="2"/>
  <c r="H12" i="2"/>
  <c r="I12" i="2"/>
  <c r="J12" i="2"/>
  <c r="K12" i="2"/>
  <c r="L12" i="2"/>
  <c r="M12" i="2"/>
  <c r="C12" i="2"/>
  <c r="C11" i="1" l="1"/>
  <c r="M28" i="12" l="1"/>
  <c r="L28" i="12"/>
  <c r="K28" i="12"/>
  <c r="J28" i="12"/>
  <c r="I28" i="12"/>
  <c r="H28" i="12"/>
  <c r="G28" i="12"/>
  <c r="F28" i="12"/>
  <c r="E28" i="12"/>
  <c r="D28" i="12"/>
  <c r="C28" i="12"/>
  <c r="M23" i="12"/>
  <c r="L23" i="12"/>
  <c r="J23" i="12"/>
  <c r="F23" i="12"/>
  <c r="E23" i="12"/>
  <c r="D23" i="12"/>
  <c r="C23" i="12"/>
  <c r="K23" i="12"/>
  <c r="K24" i="12" s="1"/>
  <c r="K29" i="12" s="1"/>
  <c r="K32" i="12" s="1"/>
  <c r="K35" i="12" s="1"/>
  <c r="G23" i="12"/>
  <c r="M15" i="12"/>
  <c r="L15" i="12"/>
  <c r="K15" i="12"/>
  <c r="F15" i="12"/>
  <c r="E15" i="12"/>
  <c r="D15" i="12"/>
  <c r="C15" i="12"/>
  <c r="J15" i="12"/>
  <c r="I15" i="12"/>
  <c r="H15" i="12"/>
  <c r="G15" i="12"/>
  <c r="M30" i="11"/>
  <c r="L30" i="11"/>
  <c r="K30" i="11"/>
  <c r="J30" i="11"/>
  <c r="F30" i="11"/>
  <c r="E30" i="11"/>
  <c r="D30" i="11"/>
  <c r="C30" i="11"/>
  <c r="I30" i="11"/>
  <c r="H30" i="11"/>
  <c r="G30" i="11"/>
  <c r="J25" i="11"/>
  <c r="F25" i="11"/>
  <c r="E25" i="11"/>
  <c r="D25" i="11"/>
  <c r="C25" i="11"/>
  <c r="I25" i="11"/>
  <c r="K25" i="11"/>
  <c r="G11" i="11"/>
  <c r="G17" i="11" s="1"/>
  <c r="M11" i="11"/>
  <c r="M17" i="11" s="1"/>
  <c r="L11" i="11"/>
  <c r="L17" i="11" s="1"/>
  <c r="K11" i="11"/>
  <c r="K17" i="11" s="1"/>
  <c r="J11" i="11"/>
  <c r="J17" i="11" s="1"/>
  <c r="J26" i="11" s="1"/>
  <c r="I11" i="11"/>
  <c r="F11" i="11"/>
  <c r="F17" i="11" s="1"/>
  <c r="E11" i="11"/>
  <c r="E17" i="11" s="1"/>
  <c r="E26" i="11" s="1"/>
  <c r="E31" i="11" s="1"/>
  <c r="E34" i="11" s="1"/>
  <c r="D11" i="11"/>
  <c r="D17" i="11" s="1"/>
  <c r="D26" i="11" s="1"/>
  <c r="D31" i="11" s="1"/>
  <c r="D34" i="11" s="1"/>
  <c r="C11" i="11"/>
  <c r="C17" i="11" s="1"/>
  <c r="C26" i="11" s="1"/>
  <c r="M31" i="10"/>
  <c r="L31" i="10"/>
  <c r="K31" i="10"/>
  <c r="J31" i="10"/>
  <c r="F31" i="10"/>
  <c r="E31" i="10"/>
  <c r="D31" i="10"/>
  <c r="C31" i="10"/>
  <c r="H31" i="10"/>
  <c r="I31" i="10"/>
  <c r="G31" i="10"/>
  <c r="L26" i="10"/>
  <c r="K26" i="10"/>
  <c r="J26" i="10"/>
  <c r="F26" i="10"/>
  <c r="E26" i="10"/>
  <c r="D26" i="10"/>
  <c r="C26" i="10"/>
  <c r="M26" i="10"/>
  <c r="H11" i="10"/>
  <c r="H18" i="10" s="1"/>
  <c r="M11" i="10"/>
  <c r="M18" i="10" s="1"/>
  <c r="L11" i="10"/>
  <c r="L18" i="10" s="1"/>
  <c r="K11" i="10"/>
  <c r="K18" i="10" s="1"/>
  <c r="K27" i="10" s="1"/>
  <c r="K32" i="10" s="1"/>
  <c r="K35" i="10" s="1"/>
  <c r="J11" i="10"/>
  <c r="J18" i="10" s="1"/>
  <c r="J27" i="10" s="1"/>
  <c r="J32" i="10" s="1"/>
  <c r="J35" i="10" s="1"/>
  <c r="G11" i="10"/>
  <c r="F11" i="10"/>
  <c r="F18" i="10" s="1"/>
  <c r="E11" i="10"/>
  <c r="E18" i="10" s="1"/>
  <c r="D11" i="10"/>
  <c r="D18" i="10" s="1"/>
  <c r="D27" i="10" s="1"/>
  <c r="C11" i="10"/>
  <c r="C18" i="10" s="1"/>
  <c r="M32" i="9"/>
  <c r="L32" i="9"/>
  <c r="K32" i="9"/>
  <c r="J32" i="9"/>
  <c r="F32" i="9"/>
  <c r="E32" i="9"/>
  <c r="D32" i="9"/>
  <c r="C32" i="9"/>
  <c r="I32" i="9"/>
  <c r="H32" i="9"/>
  <c r="G32" i="9"/>
  <c r="F27" i="9"/>
  <c r="D27" i="9"/>
  <c r="C27" i="9"/>
  <c r="E27" i="9"/>
  <c r="M27" i="9"/>
  <c r="K27" i="9"/>
  <c r="G27" i="9"/>
  <c r="H11" i="9"/>
  <c r="H19" i="9" s="1"/>
  <c r="M11" i="9"/>
  <c r="M19" i="9" s="1"/>
  <c r="L11" i="9"/>
  <c r="L19" i="9" s="1"/>
  <c r="K11" i="9"/>
  <c r="K19" i="9" s="1"/>
  <c r="J11" i="9"/>
  <c r="J19" i="9" s="1"/>
  <c r="F11" i="9"/>
  <c r="F19" i="9" s="1"/>
  <c r="F28" i="9" s="1"/>
  <c r="E11" i="9"/>
  <c r="E19" i="9" s="1"/>
  <c r="D11" i="9"/>
  <c r="D19" i="9" s="1"/>
  <c r="C11" i="9"/>
  <c r="C19" i="9" s="1"/>
  <c r="M28" i="8"/>
  <c r="L28" i="8"/>
  <c r="K28" i="8"/>
  <c r="J28" i="8"/>
  <c r="I28" i="8"/>
  <c r="H28" i="8"/>
  <c r="G28" i="8"/>
  <c r="F28" i="8"/>
  <c r="E28" i="8"/>
  <c r="D28" i="8"/>
  <c r="C28" i="8"/>
  <c r="J23" i="8"/>
  <c r="F23" i="8"/>
  <c r="E23" i="8"/>
  <c r="D23" i="8"/>
  <c r="C23" i="8"/>
  <c r="K23" i="8"/>
  <c r="M15" i="8"/>
  <c r="L15" i="8"/>
  <c r="K15" i="8"/>
  <c r="J15" i="8"/>
  <c r="J24" i="8" s="1"/>
  <c r="F15" i="8"/>
  <c r="E15" i="8"/>
  <c r="E24" i="8" s="1"/>
  <c r="E29" i="8" s="1"/>
  <c r="E32" i="8" s="1"/>
  <c r="D15" i="8"/>
  <c r="D24" i="8" s="1"/>
  <c r="D29" i="8" s="1"/>
  <c r="D32" i="8" s="1"/>
  <c r="C15" i="8"/>
  <c r="C24" i="8" s="1"/>
  <c r="C29" i="8" s="1"/>
  <c r="C32" i="8" s="1"/>
  <c r="I15" i="8"/>
  <c r="H15" i="8"/>
  <c r="G15" i="8"/>
  <c r="M33" i="7"/>
  <c r="L33" i="7"/>
  <c r="K33" i="7"/>
  <c r="J33" i="7"/>
  <c r="I33" i="7"/>
  <c r="H33" i="7"/>
  <c r="G33" i="7"/>
  <c r="F33" i="7"/>
  <c r="E33" i="7"/>
  <c r="D33" i="7"/>
  <c r="C33" i="7"/>
  <c r="J28" i="7"/>
  <c r="F28" i="7"/>
  <c r="E28" i="7"/>
  <c r="D28" i="7"/>
  <c r="C28" i="7"/>
  <c r="G28" i="7"/>
  <c r="M11" i="7"/>
  <c r="M20" i="7" s="1"/>
  <c r="K11" i="7"/>
  <c r="K20" i="7" s="1"/>
  <c r="F11" i="7"/>
  <c r="F20" i="7" s="1"/>
  <c r="F29" i="7" s="1"/>
  <c r="F34" i="7" s="1"/>
  <c r="F37" i="7" s="1"/>
  <c r="E11" i="7"/>
  <c r="E20" i="7" s="1"/>
  <c r="E29" i="7" s="1"/>
  <c r="L11" i="7"/>
  <c r="L20" i="7" s="1"/>
  <c r="J11" i="7"/>
  <c r="J20" i="7" s="1"/>
  <c r="D11" i="7"/>
  <c r="D20" i="7" s="1"/>
  <c r="D29" i="7" s="1"/>
  <c r="D34" i="7" s="1"/>
  <c r="D37" i="7" s="1"/>
  <c r="C11" i="7"/>
  <c r="C20" i="7" s="1"/>
  <c r="C29" i="7" s="1"/>
  <c r="C34" i="7" s="1"/>
  <c r="C37" i="7" s="1"/>
  <c r="M32" i="6"/>
  <c r="L32" i="6"/>
  <c r="K32" i="6"/>
  <c r="J32" i="6"/>
  <c r="F32" i="6"/>
  <c r="E32" i="6"/>
  <c r="D32" i="6"/>
  <c r="C32" i="6"/>
  <c r="I32" i="6"/>
  <c r="F27" i="6"/>
  <c r="E27" i="6"/>
  <c r="D27" i="6"/>
  <c r="C27" i="6"/>
  <c r="L27" i="6"/>
  <c r="K27" i="6"/>
  <c r="J27" i="6"/>
  <c r="M11" i="6"/>
  <c r="M19" i="6" s="1"/>
  <c r="L11" i="6"/>
  <c r="L19" i="6" s="1"/>
  <c r="L28" i="6" s="1"/>
  <c r="L33" i="6" s="1"/>
  <c r="L36" i="6" s="1"/>
  <c r="K11" i="6"/>
  <c r="K19" i="6" s="1"/>
  <c r="J11" i="6"/>
  <c r="J19" i="6" s="1"/>
  <c r="F11" i="6"/>
  <c r="F19" i="6" s="1"/>
  <c r="E11" i="6"/>
  <c r="E19" i="6" s="1"/>
  <c r="E28" i="6" s="1"/>
  <c r="E33" i="6" s="1"/>
  <c r="E36" i="6" s="1"/>
  <c r="D11" i="6"/>
  <c r="D19" i="6" s="1"/>
  <c r="D28" i="6" s="1"/>
  <c r="D33" i="6" s="1"/>
  <c r="D36" i="6" s="1"/>
  <c r="C11" i="6"/>
  <c r="C19" i="6" s="1"/>
  <c r="M33" i="5"/>
  <c r="L33" i="5"/>
  <c r="K33" i="5"/>
  <c r="J33" i="5"/>
  <c r="I33" i="5"/>
  <c r="F33" i="5"/>
  <c r="E33" i="5"/>
  <c r="D33" i="5"/>
  <c r="C33" i="5"/>
  <c r="H33" i="5"/>
  <c r="G33" i="5"/>
  <c r="J28" i="5"/>
  <c r="F28" i="5"/>
  <c r="E28" i="5"/>
  <c r="D28" i="5"/>
  <c r="C28" i="5"/>
  <c r="L11" i="5"/>
  <c r="K11" i="5"/>
  <c r="F11" i="5"/>
  <c r="E11" i="5"/>
  <c r="M11" i="5"/>
  <c r="D11" i="5"/>
  <c r="C11" i="5"/>
  <c r="M35" i="4"/>
  <c r="L35" i="4"/>
  <c r="K35" i="4"/>
  <c r="J35" i="4"/>
  <c r="F35" i="4"/>
  <c r="E35" i="4"/>
  <c r="D35" i="4"/>
  <c r="C35" i="4"/>
  <c r="I35" i="4"/>
  <c r="H35" i="4"/>
  <c r="J30" i="4"/>
  <c r="F30" i="4"/>
  <c r="E30" i="4"/>
  <c r="D30" i="4"/>
  <c r="C30" i="4"/>
  <c r="K30" i="4"/>
  <c r="L22" i="4"/>
  <c r="K22" i="4"/>
  <c r="F22" i="4"/>
  <c r="E22" i="4"/>
  <c r="E31" i="4" s="1"/>
  <c r="C22" i="4"/>
  <c r="M22" i="4"/>
  <c r="D22" i="4"/>
  <c r="D31" i="4" s="1"/>
  <c r="D36" i="4" s="1"/>
  <c r="D39" i="4" s="1"/>
  <c r="M31" i="3"/>
  <c r="L31" i="3"/>
  <c r="K31" i="3"/>
  <c r="J31" i="3"/>
  <c r="H31" i="3"/>
  <c r="F31" i="3"/>
  <c r="E31" i="3"/>
  <c r="D31" i="3"/>
  <c r="C31" i="3"/>
  <c r="I31" i="3"/>
  <c r="G31" i="3"/>
  <c r="J26" i="3"/>
  <c r="I26" i="3"/>
  <c r="F26" i="3"/>
  <c r="E26" i="3"/>
  <c r="D26" i="3"/>
  <c r="C26" i="3"/>
  <c r="G26" i="3"/>
  <c r="H26" i="3"/>
  <c r="H11" i="3"/>
  <c r="H18" i="3" s="1"/>
  <c r="I11" i="3"/>
  <c r="I18" i="3" s="1"/>
  <c r="I27" i="3" s="1"/>
  <c r="G11" i="3"/>
  <c r="G18" i="3" s="1"/>
  <c r="M11" i="3"/>
  <c r="M18" i="3" s="1"/>
  <c r="L11" i="3"/>
  <c r="L18" i="3" s="1"/>
  <c r="K11" i="3"/>
  <c r="K18" i="3" s="1"/>
  <c r="J11" i="3"/>
  <c r="J18" i="3" s="1"/>
  <c r="J27" i="3" s="1"/>
  <c r="J32" i="3" s="1"/>
  <c r="J35" i="3" s="1"/>
  <c r="F11" i="3"/>
  <c r="F18" i="3" s="1"/>
  <c r="F27" i="3" s="1"/>
  <c r="E11" i="3"/>
  <c r="E18" i="3" s="1"/>
  <c r="E27" i="3" s="1"/>
  <c r="E32" i="3" s="1"/>
  <c r="E35" i="3" s="1"/>
  <c r="D11" i="3"/>
  <c r="D18" i="3" s="1"/>
  <c r="D27" i="3" s="1"/>
  <c r="D32" i="3" s="1"/>
  <c r="D35" i="3" s="1"/>
  <c r="C11" i="3"/>
  <c r="C18" i="3" s="1"/>
  <c r="L33" i="2"/>
  <c r="K33" i="2"/>
  <c r="J33" i="2"/>
  <c r="H33" i="2"/>
  <c r="G33" i="2"/>
  <c r="F33" i="2"/>
  <c r="D33" i="2"/>
  <c r="C33" i="2"/>
  <c r="M28" i="2"/>
  <c r="I28" i="2"/>
  <c r="E28" i="2"/>
  <c r="M36" i="1"/>
  <c r="J36" i="1"/>
  <c r="I36" i="1"/>
  <c r="F36" i="1"/>
  <c r="E36" i="1"/>
  <c r="L23" i="1"/>
  <c r="H23" i="1"/>
  <c r="D23" i="1"/>
  <c r="M27" i="10" l="1"/>
  <c r="M32" i="10" s="1"/>
  <c r="M35" i="10" s="1"/>
  <c r="F27" i="10"/>
  <c r="F32" i="10" s="1"/>
  <c r="F35" i="10" s="1"/>
  <c r="D24" i="12"/>
  <c r="D29" i="12" s="1"/>
  <c r="D32" i="12" s="1"/>
  <c r="L24" i="12"/>
  <c r="L29" i="12" s="1"/>
  <c r="L32" i="12" s="1"/>
  <c r="L35" i="12" s="1"/>
  <c r="J24" i="12"/>
  <c r="J29" i="12" s="1"/>
  <c r="J32" i="12" s="1"/>
  <c r="J29" i="7"/>
  <c r="J34" i="7" s="1"/>
  <c r="J37" i="7" s="1"/>
  <c r="D20" i="5"/>
  <c r="D29" i="5" s="1"/>
  <c r="D34" i="5" s="1"/>
  <c r="D37" i="5" s="1"/>
  <c r="D11" i="2"/>
  <c r="E20" i="5"/>
  <c r="E29" i="5" s="1"/>
  <c r="E34" i="5" s="1"/>
  <c r="E37" i="5" s="1"/>
  <c r="E11" i="2"/>
  <c r="E20" i="2" s="1"/>
  <c r="C20" i="5"/>
  <c r="C29" i="5" s="1"/>
  <c r="C34" i="5" s="1"/>
  <c r="C37" i="5" s="1"/>
  <c r="C11" i="2"/>
  <c r="C20" i="2" s="1"/>
  <c r="F20" i="5"/>
  <c r="F11" i="2"/>
  <c r="F20" i="2" s="1"/>
  <c r="K20" i="5"/>
  <c r="K11" i="2"/>
  <c r="K20" i="2" s="1"/>
  <c r="M20" i="5"/>
  <c r="M11" i="2"/>
  <c r="M20" i="2" s="1"/>
  <c r="L20" i="5"/>
  <c r="L11" i="2"/>
  <c r="L20" i="2" s="1"/>
  <c r="C24" i="12"/>
  <c r="C29" i="12" s="1"/>
  <c r="C32" i="12" s="1"/>
  <c r="C31" i="11"/>
  <c r="C34" i="11" s="1"/>
  <c r="J31" i="11"/>
  <c r="J34" i="11" s="1"/>
  <c r="D32" i="10"/>
  <c r="D35" i="10" s="1"/>
  <c r="E27" i="10"/>
  <c r="L27" i="10"/>
  <c r="L32" i="10" s="1"/>
  <c r="L35" i="10" s="1"/>
  <c r="F33" i="9"/>
  <c r="F36" i="9" s="1"/>
  <c r="D28" i="9"/>
  <c r="D33" i="9" s="1"/>
  <c r="D36" i="9" s="1"/>
  <c r="K28" i="9"/>
  <c r="K33" i="9" s="1"/>
  <c r="K36" i="9" s="1"/>
  <c r="F24" i="8"/>
  <c r="F29" i="8" s="1"/>
  <c r="F32" i="8" s="1"/>
  <c r="C28" i="6"/>
  <c r="C33" i="6" s="1"/>
  <c r="C36" i="6" s="1"/>
  <c r="F29" i="5"/>
  <c r="F34" i="5" s="1"/>
  <c r="F37" i="5" s="1"/>
  <c r="E36" i="4"/>
  <c r="E39" i="4" s="1"/>
  <c r="F31" i="4"/>
  <c r="F36" i="4" s="1"/>
  <c r="F39" i="4" s="1"/>
  <c r="C31" i="4"/>
  <c r="C36" i="4" s="1"/>
  <c r="C39" i="4" s="1"/>
  <c r="K31" i="4"/>
  <c r="K36" i="4" s="1"/>
  <c r="K39" i="4" s="1"/>
  <c r="I32" i="3"/>
  <c r="I35" i="3" s="1"/>
  <c r="F32" i="3"/>
  <c r="F35" i="3" s="1"/>
  <c r="C27" i="3"/>
  <c r="C32" i="3" s="1"/>
  <c r="C35" i="3" s="1"/>
  <c r="D20" i="2"/>
  <c r="E23" i="1"/>
  <c r="I23" i="1"/>
  <c r="M23" i="1"/>
  <c r="F23" i="1"/>
  <c r="J23" i="1"/>
  <c r="C23" i="1"/>
  <c r="G23" i="1"/>
  <c r="K23" i="1"/>
  <c r="D31" i="1"/>
  <c r="D32" i="1" s="1"/>
  <c r="H31" i="1"/>
  <c r="H32" i="1" s="1"/>
  <c r="L31" i="1"/>
  <c r="L32" i="1" s="1"/>
  <c r="C36" i="1"/>
  <c r="G36" i="1"/>
  <c r="K36" i="1"/>
  <c r="E31" i="1"/>
  <c r="E32" i="1" s="1"/>
  <c r="E37" i="1" s="1"/>
  <c r="E40" i="1" s="1"/>
  <c r="E43" i="1" s="1"/>
  <c r="I31" i="1"/>
  <c r="M31" i="1"/>
  <c r="D36" i="1"/>
  <c r="H36" i="1"/>
  <c r="L36" i="1"/>
  <c r="F28" i="2"/>
  <c r="J28" i="2"/>
  <c r="E33" i="2"/>
  <c r="I33" i="2"/>
  <c r="M33" i="2"/>
  <c r="J35" i="12"/>
  <c r="F31" i="1"/>
  <c r="J31" i="1"/>
  <c r="C28" i="2"/>
  <c r="G28" i="2"/>
  <c r="K28" i="2"/>
  <c r="C31" i="1"/>
  <c r="G31" i="1"/>
  <c r="K31" i="1"/>
  <c r="D28" i="2"/>
  <c r="H28" i="2"/>
  <c r="L28" i="2"/>
  <c r="G24" i="12"/>
  <c r="G29" i="12" s="1"/>
  <c r="G32" i="12" s="1"/>
  <c r="H23" i="12"/>
  <c r="H24" i="12" s="1"/>
  <c r="H29" i="12" s="1"/>
  <c r="H32" i="12" s="1"/>
  <c r="I23" i="12"/>
  <c r="I24" i="12" s="1"/>
  <c r="I29" i="12" s="1"/>
  <c r="I32" i="12" s="1"/>
  <c r="E24" i="12"/>
  <c r="E29" i="12" s="1"/>
  <c r="E32" i="12" s="1"/>
  <c r="E35" i="12" s="1"/>
  <c r="M24" i="12"/>
  <c r="M29" i="12" s="1"/>
  <c r="M32" i="12" s="1"/>
  <c r="M35" i="12" s="1"/>
  <c r="F24" i="12"/>
  <c r="F29" i="12" s="1"/>
  <c r="F32" i="12" s="1"/>
  <c r="H11" i="11"/>
  <c r="H17" i="11" s="1"/>
  <c r="H26" i="11" s="1"/>
  <c r="H31" i="11" s="1"/>
  <c r="H34" i="11" s="1"/>
  <c r="G25" i="11"/>
  <c r="G26" i="11" s="1"/>
  <c r="G31" i="11" s="1"/>
  <c r="G34" i="11" s="1"/>
  <c r="M25" i="11"/>
  <c r="M26" i="11" s="1"/>
  <c r="M31" i="11" s="1"/>
  <c r="M34" i="11" s="1"/>
  <c r="F26" i="11"/>
  <c r="F31" i="11" s="1"/>
  <c r="F34" i="11" s="1"/>
  <c r="I17" i="11"/>
  <c r="I26" i="11" s="1"/>
  <c r="I31" i="11" s="1"/>
  <c r="I34" i="11" s="1"/>
  <c r="H25" i="11"/>
  <c r="C27" i="10"/>
  <c r="C32" i="10" s="1"/>
  <c r="C35" i="10" s="1"/>
  <c r="G18" i="10"/>
  <c r="I11" i="10"/>
  <c r="I18" i="10" s="1"/>
  <c r="E32" i="10"/>
  <c r="E35" i="10" s="1"/>
  <c r="G26" i="10"/>
  <c r="H26" i="10"/>
  <c r="H27" i="10" s="1"/>
  <c r="H32" i="10" s="1"/>
  <c r="H35" i="10" s="1"/>
  <c r="I26" i="10"/>
  <c r="I11" i="9"/>
  <c r="I19" i="9" s="1"/>
  <c r="G11" i="9"/>
  <c r="G19" i="9" s="1"/>
  <c r="M28" i="9"/>
  <c r="M33" i="9" s="1"/>
  <c r="M36" i="9" s="1"/>
  <c r="C28" i="9"/>
  <c r="C33" i="9" s="1"/>
  <c r="C36" i="9" s="1"/>
  <c r="H24" i="8"/>
  <c r="H29" i="8" s="1"/>
  <c r="H32" i="8" s="1"/>
  <c r="I23" i="8"/>
  <c r="I24" i="8" s="1"/>
  <c r="I29" i="8" s="1"/>
  <c r="I32" i="8" s="1"/>
  <c r="H23" i="8"/>
  <c r="K24" i="8"/>
  <c r="K29" i="8" s="1"/>
  <c r="K32" i="8" s="1"/>
  <c r="J29" i="8"/>
  <c r="J32" i="8" s="1"/>
  <c r="G23" i="8"/>
  <c r="G24" i="8" s="1"/>
  <c r="G29" i="8" s="1"/>
  <c r="G32" i="8" s="1"/>
  <c r="L23" i="8"/>
  <c r="E34" i="7"/>
  <c r="E37" i="7" s="1"/>
  <c r="H28" i="7"/>
  <c r="I28" i="7"/>
  <c r="G11" i="7"/>
  <c r="G20" i="7" s="1"/>
  <c r="G29" i="7" s="1"/>
  <c r="G34" i="7" s="1"/>
  <c r="G37" i="7" s="1"/>
  <c r="K28" i="7"/>
  <c r="K29" i="7" s="1"/>
  <c r="K34" i="7" s="1"/>
  <c r="K37" i="7" s="1"/>
  <c r="F28" i="6"/>
  <c r="F33" i="6" s="1"/>
  <c r="F36" i="6" s="1"/>
  <c r="G27" i="6"/>
  <c r="G28" i="6" s="1"/>
  <c r="G33" i="6" s="1"/>
  <c r="G36" i="6" s="1"/>
  <c r="G32" i="6"/>
  <c r="H32" i="6"/>
  <c r="G11" i="6"/>
  <c r="G19" i="6" s="1"/>
  <c r="H11" i="6"/>
  <c r="H19" i="6" s="1"/>
  <c r="I11" i="6"/>
  <c r="I19" i="6" s="1"/>
  <c r="H27" i="6"/>
  <c r="I27" i="6"/>
  <c r="M27" i="6"/>
  <c r="M28" i="6" s="1"/>
  <c r="M33" i="6" s="1"/>
  <c r="M36" i="6" s="1"/>
  <c r="I28" i="5"/>
  <c r="H11" i="5"/>
  <c r="G28" i="5"/>
  <c r="H28" i="5"/>
  <c r="J22" i="4"/>
  <c r="J31" i="4" s="1"/>
  <c r="J36" i="4" s="1"/>
  <c r="J39" i="4" s="1"/>
  <c r="H22" i="4"/>
  <c r="I30" i="4"/>
  <c r="G35" i="4"/>
  <c r="G30" i="4"/>
  <c r="G22" i="4"/>
  <c r="G31" i="4" s="1"/>
  <c r="H30" i="4"/>
  <c r="K26" i="11"/>
  <c r="K31" i="11" s="1"/>
  <c r="K34" i="11" s="1"/>
  <c r="L25" i="11"/>
  <c r="L26" i="11" s="1"/>
  <c r="L31" i="11" s="1"/>
  <c r="L34" i="11" s="1"/>
  <c r="G28" i="9"/>
  <c r="G33" i="9" s="1"/>
  <c r="G36" i="9" s="1"/>
  <c r="E28" i="9"/>
  <c r="E33" i="9" s="1"/>
  <c r="E36" i="9" s="1"/>
  <c r="H27" i="9"/>
  <c r="H28" i="9" s="1"/>
  <c r="H33" i="9" s="1"/>
  <c r="H36" i="9" s="1"/>
  <c r="L27" i="9"/>
  <c r="L28" i="9" s="1"/>
  <c r="L33" i="9" s="1"/>
  <c r="L36" i="9" s="1"/>
  <c r="I27" i="9"/>
  <c r="J27" i="9"/>
  <c r="J28" i="9" s="1"/>
  <c r="J33" i="9" s="1"/>
  <c r="J36" i="9" s="1"/>
  <c r="M24" i="8"/>
  <c r="M29" i="8" s="1"/>
  <c r="M32" i="8" s="1"/>
  <c r="L24" i="8"/>
  <c r="L29" i="8" s="1"/>
  <c r="L32" i="8" s="1"/>
  <c r="M23" i="8"/>
  <c r="L28" i="7"/>
  <c r="L29" i="7" s="1"/>
  <c r="L34" i="7" s="1"/>
  <c r="L37" i="7" s="1"/>
  <c r="H11" i="7"/>
  <c r="H20" i="7" s="1"/>
  <c r="I11" i="7"/>
  <c r="I20" i="7" s="1"/>
  <c r="M28" i="7"/>
  <c r="M29" i="7" s="1"/>
  <c r="M34" i="7" s="1"/>
  <c r="M37" i="7" s="1"/>
  <c r="K28" i="6"/>
  <c r="K33" i="6" s="1"/>
  <c r="K36" i="6" s="1"/>
  <c r="J28" i="6"/>
  <c r="J33" i="6" s="1"/>
  <c r="J36" i="6" s="1"/>
  <c r="M28" i="5"/>
  <c r="M29" i="5" s="1"/>
  <c r="M34" i="5" s="1"/>
  <c r="M37" i="5" s="1"/>
  <c r="L28" i="5"/>
  <c r="L29" i="5" s="1"/>
  <c r="L34" i="5" s="1"/>
  <c r="L37" i="5" s="1"/>
  <c r="J11" i="5"/>
  <c r="I11" i="5"/>
  <c r="K28" i="5"/>
  <c r="K29" i="5" s="1"/>
  <c r="K34" i="5" s="1"/>
  <c r="K37" i="5" s="1"/>
  <c r="G11" i="5"/>
  <c r="M30" i="4"/>
  <c r="M31" i="4" s="1"/>
  <c r="M36" i="4" s="1"/>
  <c r="M39" i="4" s="1"/>
  <c r="L31" i="4"/>
  <c r="L36" i="4" s="1"/>
  <c r="L39" i="4" s="1"/>
  <c r="I22" i="4"/>
  <c r="L30" i="4"/>
  <c r="G27" i="3"/>
  <c r="G32" i="3" s="1"/>
  <c r="G35" i="3" s="1"/>
  <c r="H27" i="3"/>
  <c r="H32" i="3" s="1"/>
  <c r="H35" i="3" s="1"/>
  <c r="M26" i="3"/>
  <c r="M27" i="3" s="1"/>
  <c r="M32" i="3" s="1"/>
  <c r="M35" i="3" s="1"/>
  <c r="L26" i="3"/>
  <c r="L27" i="3" s="1"/>
  <c r="L32" i="3" s="1"/>
  <c r="L35" i="3" s="1"/>
  <c r="K26" i="3"/>
  <c r="K27" i="3" s="1"/>
  <c r="K32" i="3" s="1"/>
  <c r="K35" i="3" s="1"/>
  <c r="M29" i="2"/>
  <c r="E29" i="2"/>
  <c r="G36" i="4" l="1"/>
  <c r="G39" i="4" s="1"/>
  <c r="F29" i="2"/>
  <c r="F34" i="2" s="1"/>
  <c r="F37" i="2" s="1"/>
  <c r="C32" i="1"/>
  <c r="C37" i="1" s="1"/>
  <c r="C40" i="1" s="1"/>
  <c r="I32" i="1"/>
  <c r="I37" i="1" s="1"/>
  <c r="I40" i="1" s="1"/>
  <c r="K32" i="1"/>
  <c r="K37" i="1" s="1"/>
  <c r="K40" i="1" s="1"/>
  <c r="K43" i="1" s="1"/>
  <c r="F32" i="1"/>
  <c r="F37" i="1" s="1"/>
  <c r="F40" i="1" s="1"/>
  <c r="K29" i="2"/>
  <c r="K34" i="2" s="1"/>
  <c r="K37" i="2" s="1"/>
  <c r="D29" i="2"/>
  <c r="D34" i="2" s="1"/>
  <c r="D37" i="2" s="1"/>
  <c r="G20" i="5"/>
  <c r="G29" i="5" s="1"/>
  <c r="G34" i="5" s="1"/>
  <c r="G37" i="5" s="1"/>
  <c r="G11" i="2"/>
  <c r="G20" i="2" s="1"/>
  <c r="H20" i="5"/>
  <c r="H29" i="5" s="1"/>
  <c r="H34" i="5" s="1"/>
  <c r="H37" i="5" s="1"/>
  <c r="H11" i="2"/>
  <c r="H20" i="2" s="1"/>
  <c r="H29" i="2" s="1"/>
  <c r="H34" i="2" s="1"/>
  <c r="H37" i="2" s="1"/>
  <c r="C29" i="2"/>
  <c r="C34" i="2" s="1"/>
  <c r="C37" i="2" s="1"/>
  <c r="I20" i="5"/>
  <c r="I11" i="2"/>
  <c r="I20" i="2" s="1"/>
  <c r="I29" i="2" s="1"/>
  <c r="I34" i="2" s="1"/>
  <c r="I37" i="2" s="1"/>
  <c r="J20" i="5"/>
  <c r="J29" i="5" s="1"/>
  <c r="J34" i="5" s="1"/>
  <c r="J37" i="5" s="1"/>
  <c r="J11" i="2"/>
  <c r="J20" i="2" s="1"/>
  <c r="J29" i="2" s="1"/>
  <c r="J34" i="2" s="1"/>
  <c r="J37" i="2" s="1"/>
  <c r="G29" i="2"/>
  <c r="G34" i="2" s="1"/>
  <c r="G37" i="2" s="1"/>
  <c r="I28" i="9"/>
  <c r="I33" i="9" s="1"/>
  <c r="I36" i="9" s="1"/>
  <c r="I29" i="7"/>
  <c r="I34" i="7" s="1"/>
  <c r="I37" i="7" s="1"/>
  <c r="H29" i="7"/>
  <c r="H34" i="7" s="1"/>
  <c r="H37" i="7" s="1"/>
  <c r="I29" i="5"/>
  <c r="I34" i="5" s="1"/>
  <c r="I37" i="5" s="1"/>
  <c r="M34" i="2"/>
  <c r="M37" i="2" s="1"/>
  <c r="L29" i="2"/>
  <c r="L34" i="2" s="1"/>
  <c r="L37" i="2" s="1"/>
  <c r="H37" i="1"/>
  <c r="H40" i="1" s="1"/>
  <c r="J32" i="1"/>
  <c r="J37" i="1" s="1"/>
  <c r="J40" i="1" s="1"/>
  <c r="J43" i="1" s="1"/>
  <c r="G32" i="1"/>
  <c r="G37" i="1" s="1"/>
  <c r="G40" i="1" s="1"/>
  <c r="D37" i="1"/>
  <c r="D40" i="1" s="1"/>
  <c r="M32" i="1"/>
  <c r="M37" i="1" s="1"/>
  <c r="M40" i="1" s="1"/>
  <c r="M43" i="1" s="1"/>
  <c r="L37" i="1"/>
  <c r="L40" i="1" s="1"/>
  <c r="L43" i="1" s="1"/>
  <c r="E34" i="2"/>
  <c r="E37" i="2" s="1"/>
  <c r="H28" i="6"/>
  <c r="H33" i="6" s="1"/>
  <c r="H36" i="6" s="1"/>
  <c r="I27" i="10"/>
  <c r="I32" i="10" s="1"/>
  <c r="I35" i="10" s="1"/>
  <c r="G27" i="10"/>
  <c r="G32" i="10" s="1"/>
  <c r="G35" i="10" s="1"/>
  <c r="I28" i="6"/>
  <c r="I33" i="6" s="1"/>
  <c r="I36" i="6" s="1"/>
  <c r="I31" i="4"/>
  <c r="I36" i="4" s="1"/>
  <c r="I39" i="4" s="1"/>
  <c r="H31" i="4"/>
  <c r="H36" i="4" s="1"/>
  <c r="H39" i="4" s="1"/>
</calcChain>
</file>

<file path=xl/sharedStrings.xml><?xml version="1.0" encoding="utf-8"?>
<sst xmlns="http://schemas.openxmlformats.org/spreadsheetml/2006/main" count="1057" uniqueCount="286">
  <si>
    <t>Wirtschaftsplan                                                                                                          für Eigenbetriebe, Anstalten und Stiftungen öffentlichen Rechts</t>
  </si>
  <si>
    <t>alle Angaben in T€, sofern nicht anders angegeben</t>
  </si>
  <si>
    <t>1. Erfolgsplan</t>
  </si>
  <si>
    <t>Eigenbetrieb/Anstalt o. Stiftung öff. Rechts:</t>
  </si>
  <si>
    <t>Umweltbetrieb Bremen</t>
  </si>
  <si>
    <t>Planungszeitraum:</t>
  </si>
  <si>
    <t>Planjahre 2018 bis 2021</t>
  </si>
  <si>
    <t>Gesamtdarstellung</t>
  </si>
  <si>
    <t>Wirtschaftsplan</t>
  </si>
  <si>
    <t>Finanzplan</t>
  </si>
  <si>
    <t>Planungssgrößen</t>
  </si>
  <si>
    <t>Ist</t>
  </si>
  <si>
    <t>Prognose</t>
  </si>
  <si>
    <t>Planung</t>
  </si>
  <si>
    <t>I. Quartal</t>
  </si>
  <si>
    <t>I.-II. Quartal</t>
  </si>
  <si>
    <t>I.-III. Quartal</t>
  </si>
  <si>
    <t>Gesamt</t>
  </si>
  <si>
    <t>Planjahr</t>
  </si>
  <si>
    <t>lfd. Nr.</t>
  </si>
  <si>
    <t>Gewinn- und Verlustrechnung (in T€)</t>
  </si>
  <si>
    <t>Umsatzerlöse, davon</t>
  </si>
  <si>
    <t>1a</t>
  </si>
  <si>
    <t>Haushaltsmittel SUBV</t>
  </si>
  <si>
    <t>1b</t>
  </si>
  <si>
    <t>Leistungsvereinb.and.Bedarfsträg</t>
  </si>
  <si>
    <t>1c</t>
  </si>
  <si>
    <t>Gebührenerlöse</t>
  </si>
  <si>
    <t>1d</t>
  </si>
  <si>
    <t>Entgelte</t>
  </si>
  <si>
    <t>1e</t>
  </si>
  <si>
    <t>Umsatz svAbfall</t>
  </si>
  <si>
    <t>1f</t>
  </si>
  <si>
    <t>Umsatz aus BgA</t>
  </si>
  <si>
    <t>1g</t>
  </si>
  <si>
    <t>Umsatz aus Drittmitteln</t>
  </si>
  <si>
    <t>1h</t>
  </si>
  <si>
    <t>Umsatz Sonstiges</t>
  </si>
  <si>
    <t>Zuwendungen FHB</t>
  </si>
  <si>
    <t>Bestandsveränderung</t>
  </si>
  <si>
    <t>sonstige Erträge</t>
  </si>
  <si>
    <t>Gesamtleistung</t>
  </si>
  <si>
    <t>bezogenes Material</t>
  </si>
  <si>
    <t>bezogene Leistungen</t>
  </si>
  <si>
    <t>Personalaufwand</t>
  </si>
  <si>
    <t>Abschreibungen</t>
  </si>
  <si>
    <t>sonstiger betrieblicher Aufwand</t>
  </si>
  <si>
    <t>Umlagen</t>
  </si>
  <si>
    <t>interne Verrechnungen</t>
  </si>
  <si>
    <t>Summe Aufwand</t>
  </si>
  <si>
    <t>Betriebsergebnis</t>
  </si>
  <si>
    <t>Beteiligungsergebnis</t>
  </si>
  <si>
    <t>Zinserträge</t>
  </si>
  <si>
    <t>Zinsaufwand</t>
  </si>
  <si>
    <t>Finanzergebnis</t>
  </si>
  <si>
    <t>Ergeb.d.gewöhnl.Geschäftstätigkeit</t>
  </si>
  <si>
    <t>a.o. Ergebnis</t>
  </si>
  <si>
    <t>Steuern</t>
  </si>
  <si>
    <t>Ergebnis nach Steuern</t>
  </si>
  <si>
    <t>nachrichtlich:</t>
  </si>
  <si>
    <t>Ergebnis</t>
  </si>
  <si>
    <t>Sparte Grün</t>
  </si>
  <si>
    <t>Planung und Bau</t>
  </si>
  <si>
    <t xml:space="preserve">Umsatz Sonstiges </t>
  </si>
  <si>
    <t>Grünflächenunterhaltung</t>
  </si>
  <si>
    <t xml:space="preserve">  '- Zusatz-u.Sonderaufträge</t>
  </si>
  <si>
    <t xml:space="preserve">  '-div.Umsätze</t>
  </si>
  <si>
    <t>Betriebshof, GRIS, Flächen- u.Gebäudermanagement</t>
  </si>
  <si>
    <t>Friedhöfe und Krematorium</t>
  </si>
  <si>
    <t>Umsatz aus BgA (Krematorium)</t>
  </si>
  <si>
    <t>Stadtreinigung und kleine Straßenunterhaltung</t>
  </si>
  <si>
    <t xml:space="preserve">  '-Straßenreinigung</t>
  </si>
  <si>
    <t>Kundenmanagement</t>
  </si>
  <si>
    <t>Umsatzerlöse, svAbfall</t>
  </si>
  <si>
    <t>Deponie</t>
  </si>
  <si>
    <t>Umsatz sv Abfall</t>
  </si>
  <si>
    <t>Stadtentwässerung</t>
  </si>
  <si>
    <t>Betriebsleitung, Stab und zentrale Dienste</t>
  </si>
  <si>
    <t>Standortkonzept</t>
  </si>
  <si>
    <t>Umsatzerlöse</t>
  </si>
  <si>
    <t>zuständiges Fachressort:</t>
  </si>
  <si>
    <t>Der Senator für Umwelt, Bau und Verkehr</t>
  </si>
  <si>
    <t>Inhaltsübersicht</t>
  </si>
  <si>
    <t>2. Vermögensplan</t>
  </si>
  <si>
    <t>3. Personalplan</t>
  </si>
  <si>
    <t>4. Investitionsplan</t>
  </si>
  <si>
    <t>5. Planbilanz</t>
  </si>
  <si>
    <t>Wirtschaftsplan für</t>
  </si>
  <si>
    <t xml:space="preserve">Eigenbetrieb/Anstalt oder Stiftung öff. Rechts: </t>
  </si>
  <si>
    <t>Bezeichnung</t>
  </si>
  <si>
    <t>Projekte</t>
  </si>
  <si>
    <t>Genehmigung durch Beschluss des Aufsichtsgre-miums vom (TT.MM.JJ)</t>
  </si>
  <si>
    <t>Anteil Drittmittel</t>
  </si>
  <si>
    <t>in %</t>
  </si>
  <si>
    <t>Immaterielle Wirtschaftsgüter</t>
  </si>
  <si>
    <t>...</t>
  </si>
  <si>
    <t>Summe immaterielle Wirtschaftsgüter</t>
  </si>
  <si>
    <t>Unbebaute und bebaute Grundstücke</t>
  </si>
  <si>
    <t>Summe unbebaute und bebaute Grundstücke</t>
  </si>
  <si>
    <t>Maschinen und technische Anlagen</t>
  </si>
  <si>
    <t>Summe Maschinen und technische Anlagen</t>
  </si>
  <si>
    <t>Andere Anlagen, Betriebs- und Geschäftsausstattung</t>
  </si>
  <si>
    <t>Summe Betriebs- und Geschäftsausstattung</t>
  </si>
  <si>
    <t>Finanzanlagen / Beteiligungen</t>
  </si>
  <si>
    <t>Summe Finanzanlagen / Beteiligungen</t>
  </si>
  <si>
    <r>
      <t>Summe übrige Investitionen unter 250 T€</t>
    </r>
    <r>
      <rPr>
        <b/>
        <sz val="10"/>
        <rFont val="TondoKB"/>
      </rPr>
      <t/>
    </r>
  </si>
  <si>
    <t>Summe Investitionen</t>
  </si>
  <si>
    <t>Der Planungszeitraum orientiert sich an den Investitionsvorhaben.</t>
  </si>
  <si>
    <t>1.1. Erwerb von Software</t>
  </si>
  <si>
    <t>Bereich Grün</t>
  </si>
  <si>
    <t>Erweiterung Büroräume BH Mitte</t>
  </si>
  <si>
    <t>Maschinenhall/Pausenraum Knoops Park</t>
  </si>
  <si>
    <t>Standortkonzept:</t>
  </si>
  <si>
    <t>Neubau Unterkunft + Maschinenhalle auf dem FH Osterholz</t>
  </si>
  <si>
    <t>JA; BA 15.12.2015, HaFA über WP 2016</t>
  </si>
  <si>
    <t>Neubau Unterkunft + Maschinenhalle auf dem FH Huckelriede</t>
  </si>
  <si>
    <t>Sanierung Standort Am Sodenmatt</t>
  </si>
  <si>
    <t>Sanierung Standort Lehester Deich</t>
  </si>
  <si>
    <t>Bereich Deponie</t>
  </si>
  <si>
    <t>Errichtung Deponieklasse I</t>
  </si>
  <si>
    <t>JA; EBAU am 29.05.09, BA 1.4.2014, BA 26.6.2014</t>
  </si>
  <si>
    <t>Grundstücksankauf Blocklanddeponie</t>
  </si>
  <si>
    <t>Ersatzinvestitionen Infrastruktur</t>
  </si>
  <si>
    <t>Optimierung BHKW</t>
  </si>
  <si>
    <t>DK-0-Abschnitt im Bereich des Deichverbandspolders</t>
  </si>
  <si>
    <t>Canyonbereich Top on Top</t>
  </si>
  <si>
    <t>Optimierung Deponie</t>
  </si>
  <si>
    <t>Ringgrabensteuerung</t>
  </si>
  <si>
    <t>Bereich Friedhöfe</t>
  </si>
  <si>
    <t>Ertüchtigung Krematorium</t>
  </si>
  <si>
    <t>JA; BA UBB 10.04.13, BA UBB 3.3.16,HaFA 14.6.13</t>
  </si>
  <si>
    <t>Errichtung Gemeinschaftsgrabanlagen</t>
  </si>
  <si>
    <t>3.1. Investitionen unter 250 T€</t>
  </si>
  <si>
    <t>davon für</t>
  </si>
  <si>
    <t>3.1.1. Fahrzeuge, Maschinen und Geräte Bereich Grün</t>
  </si>
  <si>
    <t>3.1.2. Fahrzeuge, Maschinen und Geräte Bereich Deponie</t>
  </si>
  <si>
    <t>3.1.3. Fahrzeuge, Maschinen und Geräte Bereich Friedhöfe</t>
  </si>
  <si>
    <t>3.1.4. Fahrzeuge, Masachinen und Geräte Bereich Straßenreinigung</t>
  </si>
  <si>
    <t>3.1.5. Fahrzeuge, Maschinen und Geräte Betriebshof</t>
  </si>
  <si>
    <t>3.1.6 Fahrzeuge, Maschinen und Geräte Krematorium</t>
  </si>
  <si>
    <t>3.2. Investitionen über 250 T€</t>
  </si>
  <si>
    <t>3.2.1. Beschaffung eines Radladers für die Deponie</t>
  </si>
  <si>
    <t>3.2.2.Beschaffung eines Radladers für die Deponie</t>
  </si>
  <si>
    <t xml:space="preserve">davon für den </t>
  </si>
  <si>
    <t>Bereich Stadtreinigung</t>
  </si>
  <si>
    <t>Bereich Dienstleistung</t>
  </si>
  <si>
    <t>Bereich Kundenmanagement Abfall</t>
  </si>
  <si>
    <t>Bereich Abwasser</t>
  </si>
  <si>
    <t>Wirtschaftsplan 2018/2019</t>
  </si>
  <si>
    <t>für Eigenbetriebe, Anstalten und Stiftungen öffentlichen Rechts</t>
  </si>
  <si>
    <t>Stand: 31.03.2017</t>
  </si>
  <si>
    <t xml:space="preserve">Ufersicherungen </t>
  </si>
  <si>
    <t>rituelles Waschhaus FH Osterholz</t>
  </si>
  <si>
    <t>Anlage neuer Grabfelder</t>
  </si>
  <si>
    <t>Neue Grabangebote (Planungskosten)</t>
  </si>
  <si>
    <t>Zuführung bzw. Entnahme zweckge-bundene Rücklage Standortkonzept für Investitionen</t>
  </si>
  <si>
    <t>Der Wirtschaftsplan 2018/19 ist vorläufig und wird sich durch die beabsichtigte Gründung der AÖR ändern</t>
  </si>
  <si>
    <t>Eigenbetrieb/Anstalt oder Stiftung öff. Rechts:</t>
  </si>
  <si>
    <t xml:space="preserve">lfd. Nr. </t>
  </si>
  <si>
    <r>
      <t xml:space="preserve">Mittelbedarf für </t>
    </r>
    <r>
      <rPr>
        <b/>
        <sz val="10"/>
        <rFont val="Arial"/>
        <family val="2"/>
      </rPr>
      <t>Investionen</t>
    </r>
    <r>
      <rPr>
        <sz val="11"/>
        <color theme="1"/>
        <rFont val="Calibri"/>
        <family val="2"/>
        <scheme val="minor"/>
      </rPr>
      <t xml:space="preserve"> in der Planungsperiode </t>
    </r>
  </si>
  <si>
    <t xml:space="preserve">    Immaterielle Vermögensgegenstände</t>
  </si>
  <si>
    <t xml:space="preserve">    Grundstücke, Gebäude</t>
  </si>
  <si>
    <t xml:space="preserve">    Technische Anlagen, Maschinen </t>
  </si>
  <si>
    <t xml:space="preserve">    Firmenfahrzeuge</t>
  </si>
  <si>
    <t xml:space="preserve">    Einrichtungen / Büroausstattungen</t>
  </si>
  <si>
    <t xml:space="preserve">    sonstige Investitionen </t>
  </si>
  <si>
    <t>Sonstiger Betriebsmittelbedarf in der Planungsperiode</t>
  </si>
  <si>
    <t>Mittelbedarf:</t>
  </si>
  <si>
    <r>
      <t>Gesellschaftermittel (FHB bzw. Beteiligungsgesellschaft</t>
    </r>
    <r>
      <rPr>
        <sz val="11"/>
        <color theme="1"/>
        <rFont val="Calibri"/>
        <family val="2"/>
        <scheme val="minor"/>
      </rPr>
      <t>):</t>
    </r>
  </si>
  <si>
    <t xml:space="preserve">    Gesellschafterdarlehen</t>
  </si>
  <si>
    <t xml:space="preserve">    Zuschüsse</t>
  </si>
  <si>
    <t>Kreditaufnahmen</t>
  </si>
  <si>
    <t xml:space="preserve">    Investitionen</t>
  </si>
  <si>
    <t xml:space="preserve">    Betriebsmittel</t>
  </si>
  <si>
    <t>Finanzierung aus dem lfd. Geschäftsbetrieb (Innenfinanzierung)</t>
  </si>
  <si>
    <t xml:space="preserve">    Abschreibungen</t>
  </si>
  <si>
    <t xml:space="preserve">    Verkauf von Anlagevermögen</t>
  </si>
  <si>
    <t xml:space="preserve">    Überschüsse des Planjahres</t>
  </si>
  <si>
    <t xml:space="preserve">    Zuführung von Rücklagen</t>
  </si>
  <si>
    <t>sonstige Zuschüsse (Drittmittel)</t>
  </si>
  <si>
    <t>Mittelherkunft:</t>
  </si>
  <si>
    <t xml:space="preserve">Nachrichtlich: </t>
  </si>
  <si>
    <t>Stand des LHK-Kontos per 31.12.</t>
  </si>
  <si>
    <t>Nachrichtlich:</t>
  </si>
  <si>
    <t>Eigenkapital</t>
  </si>
  <si>
    <t>Eigenkapital, davon</t>
  </si>
  <si>
    <t xml:space="preserve">   Kapital- / Gewinnrücklagen</t>
  </si>
  <si>
    <t xml:space="preserve">   Gewinn- / Verlustvortrag</t>
  </si>
  <si>
    <t>Optional:</t>
  </si>
  <si>
    <t xml:space="preserve">Kapitalflussrechnung </t>
  </si>
  <si>
    <t>I. Mittelzufluss/-abfluss aus laufender Geschäftstätigkeit</t>
  </si>
  <si>
    <t>II. Mittelzufluss/-abfluss aus Investitionstätigkeit</t>
  </si>
  <si>
    <t>III. Mittelzufluss/-abfluss aus Finanzierungstätigkeit</t>
  </si>
  <si>
    <t>Veränderung der Flüssigen Mittel</t>
  </si>
  <si>
    <t>Technisches Personal</t>
  </si>
  <si>
    <t>Kaufmännisch-verwaltendes Personal</t>
  </si>
  <si>
    <t>keine detaillierte Personalgruppen-Zuordnung möglich</t>
  </si>
  <si>
    <t>Gewerbliches Personal</t>
  </si>
  <si>
    <t>a) ATZ-Beschäftigte in der Freistellungsphase (im BV berücksichtigter Faktor)</t>
  </si>
  <si>
    <t>b) Sonstige nicht aktiv Beschäftigte</t>
  </si>
  <si>
    <t>weibliche Beschäftigte</t>
  </si>
  <si>
    <t>männliche Beschäftigte</t>
  </si>
  <si>
    <t>schwerbehinderte Beschäftigte</t>
  </si>
  <si>
    <t>Beamtinnen/Beamte</t>
  </si>
  <si>
    <t>nachrichtlich: Auszubildende</t>
  </si>
  <si>
    <t>Personalkosten:</t>
  </si>
  <si>
    <t xml:space="preserve">23.739T€ </t>
  </si>
  <si>
    <t xml:space="preserve">24.606T€ </t>
  </si>
  <si>
    <t xml:space="preserve">26.099T€ </t>
  </si>
  <si>
    <t xml:space="preserve">26.145T€ </t>
  </si>
  <si>
    <t xml:space="preserve">26.411T€ </t>
  </si>
  <si>
    <t xml:space="preserve">26.342T€ </t>
  </si>
  <si>
    <t>26.495T€</t>
  </si>
  <si>
    <t xml:space="preserve">26.772T€ </t>
  </si>
  <si>
    <t>Summe</t>
  </si>
  <si>
    <t>davon aus der Kernverwaltung</t>
  </si>
  <si>
    <r>
      <t>Personalbestand:</t>
    </r>
    <r>
      <rPr>
        <b/>
        <vertAlign val="superscript"/>
        <sz val="10"/>
        <rFont val="Arial"/>
        <family val="2"/>
      </rPr>
      <t>1</t>
    </r>
  </si>
  <si>
    <r>
      <t>Summe (</t>
    </r>
    <r>
      <rPr>
        <b/>
        <sz val="10"/>
        <rFont val="Arial"/>
        <family val="2"/>
      </rPr>
      <t>Beschäftigungsvolumen</t>
    </r>
    <r>
      <rPr>
        <sz val="10"/>
        <rFont val="Arial"/>
        <family val="2"/>
      </rPr>
      <t>)²</t>
    </r>
  </si>
  <si>
    <r>
      <t xml:space="preserve">davon:     </t>
    </r>
    <r>
      <rPr>
        <sz val="10"/>
        <rFont val="Arial"/>
        <family val="2"/>
      </rPr>
      <t>nicht aktiv Beschäftigte:</t>
    </r>
  </si>
  <si>
    <r>
      <rPr>
        <b/>
        <sz val="10"/>
        <rFont val="Arial"/>
        <family val="2"/>
      </rPr>
      <t>nachrichtlich:</t>
    </r>
    <r>
      <rPr>
        <sz val="10"/>
        <rFont val="Arial"/>
        <family val="2"/>
      </rPr>
      <t xml:space="preserve"> Auszubildende</t>
    </r>
  </si>
  <si>
    <r>
      <t>1)</t>
    </r>
    <r>
      <rPr>
        <sz val="8"/>
        <rFont val="Arial"/>
        <family val="2"/>
      </rPr>
      <t xml:space="preserve">  jeweils in Vollzeitäquivalenten der durchschnittlich Beschäftigten, ohne Auszubildende</t>
    </r>
  </si>
  <si>
    <r>
      <t>2</t>
    </r>
    <r>
      <rPr>
        <sz val="8"/>
        <rFont val="Arial"/>
        <family val="2"/>
      </rPr>
      <t>) Das Beschäftigungsvolumen zählt alle Beschäftigten, die im Planungszeitraum mit der Gesellschaft in einem Beschäftigungsverhältnis stehen, umgerechnet auf Vollzeiteinheiten (VZE). Bei Altersteilzeit im Blockmodell wird das Beschäftigungsvolumen in der Arbeitsphase mit dem Faktor 1,0 und in der Freistellungsphase mit dem Faktor 0,0 berücksichtigt. Bei Altersteilzeit im Teilzeitmodell werden Altersteilzeitbeschäftigte entsprechend ihrem Anteil an der Vollbeschäftigung berücksichtigt. Die VZE sind als Durchschnittswerte anzugeben.</t>
    </r>
  </si>
  <si>
    <t>Wirtschaftsplan für den Umweltbetrieb Bremen</t>
  </si>
  <si>
    <t>Blatt 4a</t>
  </si>
  <si>
    <t>3. Personalplan Planung und Bau (Bereich 2)</t>
  </si>
  <si>
    <t>Prognose 2017</t>
  </si>
  <si>
    <t>Planjahr 2018</t>
  </si>
  <si>
    <t>Planjahr 2019</t>
  </si>
  <si>
    <t>Planjahr 2020</t>
  </si>
  <si>
    <t>Planjahr 2021</t>
  </si>
  <si>
    <t>Beschäftigte</t>
  </si>
  <si>
    <t>Beamte</t>
  </si>
  <si>
    <t>3. Personalplan Grünflächenunterhaltung (Bereich 3)</t>
  </si>
  <si>
    <t>3. Personalplan Betriebshof Mitte incl. GRIS (Teilbereich 4)</t>
  </si>
  <si>
    <t>Summe Beschäftigte Grünbereich</t>
  </si>
  <si>
    <t>3. Personalplan Stadtreinigung und kl. Straßenunterhaltung  (Teilbereich 4)</t>
  </si>
  <si>
    <t>3. Personalplan Friedhöfe (Bereich 5)</t>
  </si>
  <si>
    <t>3. Personalplan Deponie (Bereich 7)</t>
  </si>
  <si>
    <t>3. Personalplan Stadtentwässerung (Bereich 8)</t>
  </si>
  <si>
    <t>3. Personalplan Betriebsleitung, Stab und Zentrale Dienste (Bereich 1)</t>
  </si>
  <si>
    <t>3. Personalplan Vertrags- und Kundenmanagement (Bereich 6)</t>
  </si>
  <si>
    <r>
      <t>Personalbestand:</t>
    </r>
    <r>
      <rPr>
        <b/>
        <vertAlign val="superscript"/>
        <sz val="10"/>
        <rFont val="Arial"/>
        <family val="2"/>
      </rPr>
      <t>1)</t>
    </r>
  </si>
  <si>
    <r>
      <t>Summe Beschäftigte (ohne Aushilfen und Auszubildende) (</t>
    </r>
    <r>
      <rPr>
        <b/>
        <sz val="10"/>
        <rFont val="Arial"/>
        <family val="2"/>
      </rPr>
      <t>Beschäftigungsvolumen</t>
    </r>
  </si>
  <si>
    <r>
      <t>1)</t>
    </r>
    <r>
      <rPr>
        <sz val="8"/>
        <rFont val="Arial"/>
        <family val="2"/>
      </rPr>
      <t xml:space="preserve">  jeweils in Vollzeitäquivalenten der durchschnittlich Beschäftigten;  Wegfall der Statusgruppen "Arbeiter" und "Angestellte" mit Inkrafttreten des TVöD vom 01.10.2005.</t>
    </r>
  </si>
  <si>
    <t xml:space="preserve">¹ Die Liquidität 2. Grades ist ein Maß für die Zahlungsfähigkeit des Eigenbetriebs/der Museumsstiftung und gibt an, wie hoch der Anteil der kurzfristigen Forderungen und der flüssigen Mittel (Bank, Kasse, Schecks, Wechsel) am kurzfristigen Fremdkapital (Verbindlichkeiten aus L+L, sonstige Verbindlichkeiten, Kredite und Darlehen mit einer Laufzeit &lt; 1 Jahr, kurzfristige Rückstellungen) ist. </t>
  </si>
  <si>
    <t>Liquidität 2.-en Grades¹</t>
  </si>
  <si>
    <t>Bilanzsumme Passiva</t>
  </si>
  <si>
    <t>Sonstige Passiva</t>
  </si>
  <si>
    <t xml:space="preserve">   davon gegenüber Kreditinstituten</t>
  </si>
  <si>
    <t>8c</t>
  </si>
  <si>
    <t xml:space="preserve">   davon kurzfristige Verbindlichkeiten</t>
  </si>
  <si>
    <t>8b</t>
  </si>
  <si>
    <t xml:space="preserve">   davon gegenüber FHB</t>
  </si>
  <si>
    <t>8a</t>
  </si>
  <si>
    <t>Verbindlichkeiten</t>
  </si>
  <si>
    <t xml:space="preserve">   davon Pensionsrückstellungen</t>
  </si>
  <si>
    <t>7b</t>
  </si>
  <si>
    <t xml:space="preserve">   davon Verpflichtungen gegenüber der FHB</t>
  </si>
  <si>
    <t>7a</t>
  </si>
  <si>
    <t>Rückstellungen</t>
  </si>
  <si>
    <t xml:space="preserve">   davon Mittel der FHB</t>
  </si>
  <si>
    <t>6a</t>
  </si>
  <si>
    <t>Sonderposten</t>
  </si>
  <si>
    <t>Passiva</t>
  </si>
  <si>
    <t>Bilanzsumme Aktiva</t>
  </si>
  <si>
    <t xml:space="preserve">Sonstige Aktiva </t>
  </si>
  <si>
    <t xml:space="preserve">Umlaufvermögen </t>
  </si>
  <si>
    <t xml:space="preserve">Flüssige Mittel </t>
  </si>
  <si>
    <t>2e</t>
  </si>
  <si>
    <t>Sonstige Vermögensgegenstände</t>
  </si>
  <si>
    <t>2d</t>
  </si>
  <si>
    <t>2c</t>
  </si>
  <si>
    <t xml:space="preserve">Forderungen </t>
  </si>
  <si>
    <t>2b</t>
  </si>
  <si>
    <t>Vorräte</t>
  </si>
  <si>
    <t>2a</t>
  </si>
  <si>
    <t>Anlagevermögen</t>
  </si>
  <si>
    <t>Finanzanlagen</t>
  </si>
  <si>
    <t>Sachanlagevermögen</t>
  </si>
  <si>
    <t xml:space="preserve">Immaterielles Anlagevermögen </t>
  </si>
  <si>
    <t>Aktiva</t>
  </si>
  <si>
    <t>lfd. Jahr</t>
  </si>
  <si>
    <t>T€</t>
  </si>
  <si>
    <t>30.09.</t>
  </si>
  <si>
    <t>30.06.</t>
  </si>
  <si>
    <t>31.03.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</si>
</sst>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6">
    <font>
      <sz val="11"/>
      <color theme="1"/>
      <name val="Calibri"/>
      <family val="2"/>
      <scheme val="minor"/>
    </font>
    <font>
      <b/>
      <sz val="11"/>
      <color theme="1"/>
      <name val="Calibri"/>
      <family val="2"/>
      <scheme val="minor"/>
    </font>
    <font>
      <b/>
      <sz val="14"/>
      <name val="Arial"/>
      <family val="2"/>
    </font>
    <font>
      <sz val="10"/>
      <name val="Arial"/>
      <family val="2"/>
    </font>
    <font>
      <b/>
      <sz val="12"/>
      <name val="Arial"/>
      <family val="2"/>
    </font>
    <font>
      <sz val="8"/>
      <color rgb="FFFF0000"/>
      <name val="Arial"/>
      <family val="2"/>
    </font>
    <font>
      <b/>
      <sz val="11"/>
      <name val="Arial"/>
      <family val="2"/>
    </font>
    <font>
      <b/>
      <sz val="10"/>
      <name val="Arial"/>
      <family val="2"/>
    </font>
    <font>
      <sz val="9"/>
      <name val="Arial"/>
      <family val="2"/>
    </font>
    <font>
      <i/>
      <sz val="10"/>
      <name val="Arial"/>
      <family val="2"/>
    </font>
    <font>
      <i/>
      <sz val="9"/>
      <name val="Arial"/>
      <family val="2"/>
    </font>
    <font>
      <b/>
      <i/>
      <sz val="10"/>
      <name val="Arial"/>
      <family val="2"/>
    </font>
    <font>
      <b/>
      <sz val="12"/>
      <color theme="1"/>
      <name val="Arial"/>
      <family val="2"/>
    </font>
    <font>
      <sz val="11"/>
      <color theme="1"/>
      <name val="Arial"/>
      <family val="2"/>
    </font>
    <font>
      <i/>
      <sz val="9"/>
      <color theme="1"/>
      <name val="Calibri"/>
      <family val="2"/>
      <scheme val="minor"/>
    </font>
    <font>
      <sz val="8"/>
      <color rgb="FF0070C0"/>
      <name val="Calibri"/>
      <family val="2"/>
      <scheme val="minor"/>
    </font>
    <font>
      <sz val="11"/>
      <name val="Calibri"/>
      <family val="2"/>
      <scheme val="minor"/>
    </font>
    <font>
      <b/>
      <u/>
      <sz val="8"/>
      <color theme="1"/>
      <name val="Calibri"/>
      <family val="2"/>
      <scheme val="minor"/>
    </font>
    <font>
      <b/>
      <i/>
      <sz val="9"/>
      <name val="Arial"/>
      <family val="2"/>
    </font>
    <font>
      <sz val="11"/>
      <color rgb="FF0070C0"/>
      <name val="Calibri"/>
      <family val="2"/>
      <scheme val="minor"/>
    </font>
    <font>
      <i/>
      <sz val="9"/>
      <color rgb="FF0070C0"/>
      <name val="Calibri"/>
      <family val="2"/>
      <scheme val="minor"/>
    </font>
    <font>
      <i/>
      <sz val="9"/>
      <name val="Calibri"/>
      <family val="2"/>
      <scheme val="minor"/>
    </font>
    <font>
      <sz val="8"/>
      <name val="Calibri"/>
      <family val="2"/>
      <scheme val="minor"/>
    </font>
    <font>
      <u/>
      <sz val="8"/>
      <color theme="1"/>
      <name val="Calibri"/>
      <family val="2"/>
      <scheme val="minor"/>
    </font>
    <font>
      <sz val="11"/>
      <name val="Frutiger 55 Roman"/>
    </font>
    <font>
      <sz val="11"/>
      <name val="Arial"/>
      <family val="2"/>
    </font>
    <font>
      <b/>
      <sz val="16"/>
      <name val="Arial"/>
      <family val="2"/>
    </font>
    <font>
      <sz val="16"/>
      <name val="Arial"/>
      <family val="2"/>
    </font>
    <font>
      <b/>
      <sz val="10"/>
      <name val="TondoKB"/>
    </font>
    <font>
      <vertAlign val="superscript"/>
      <sz val="8"/>
      <name val="Arial"/>
      <family val="2"/>
    </font>
    <font>
      <b/>
      <i/>
      <vertAlign val="superscript"/>
      <sz val="8"/>
      <name val="Arial"/>
      <family val="2"/>
    </font>
    <font>
      <sz val="8"/>
      <name val="Arial"/>
      <family val="2"/>
    </font>
    <font>
      <b/>
      <sz val="8"/>
      <name val="TondoKB"/>
    </font>
    <font>
      <sz val="8"/>
      <name val="TondoKB"/>
    </font>
    <font>
      <b/>
      <sz val="8"/>
      <name val="Arial"/>
      <family val="2"/>
    </font>
    <font>
      <b/>
      <u/>
      <sz val="8"/>
      <name val="TondoKB"/>
    </font>
    <font>
      <u/>
      <sz val="8"/>
      <name val="Arial"/>
      <family val="2"/>
    </font>
    <font>
      <i/>
      <sz val="8"/>
      <name val="TondoKB"/>
    </font>
    <font>
      <sz val="9"/>
      <color theme="1"/>
      <name val="Calibri"/>
      <family val="2"/>
      <scheme val="minor"/>
    </font>
    <font>
      <b/>
      <u/>
      <sz val="13"/>
      <name val="Arial"/>
      <family val="2"/>
    </font>
    <font>
      <sz val="10"/>
      <name val="Frutiger 55 Roman"/>
    </font>
    <font>
      <b/>
      <vertAlign val="superscript"/>
      <sz val="10"/>
      <name val="Arial"/>
      <family val="2"/>
    </font>
    <font>
      <sz val="10"/>
      <name val="MS Sans Serif"/>
      <family val="2"/>
    </font>
    <font>
      <sz val="10"/>
      <color theme="0"/>
      <name val="Arial"/>
      <family val="2"/>
    </font>
    <font>
      <sz val="11"/>
      <color theme="1"/>
      <name val="Calibri"/>
      <family val="2"/>
      <scheme val="minor"/>
    </font>
    <font>
      <sz val="10"/>
      <color indexed="12"/>
      <name val="Arial"/>
      <family val="2"/>
    </font>
    <font>
      <b/>
      <sz val="10"/>
      <name val="Univers"/>
      <family val="2"/>
    </font>
    <font>
      <b/>
      <sz val="11"/>
      <name val="Univers"/>
      <family val="2"/>
    </font>
    <font>
      <b/>
      <sz val="12"/>
      <name val="Univers"/>
      <family val="2"/>
    </font>
    <font>
      <b/>
      <sz val="8"/>
      <name val="Univers"/>
      <family val="2"/>
    </font>
    <font>
      <b/>
      <sz val="9"/>
      <name val="Univers"/>
      <family val="2"/>
    </font>
    <font>
      <sz val="10"/>
      <name val="Univers"/>
      <family val="2"/>
    </font>
    <font>
      <sz val="11"/>
      <name val="Univers"/>
      <family val="2"/>
    </font>
    <font>
      <sz val="12"/>
      <name val="Univers"/>
      <family val="2"/>
    </font>
    <font>
      <sz val="8"/>
      <name val="Univers"/>
      <family val="2"/>
    </font>
    <font>
      <sz val="9"/>
      <name val="Univers"/>
      <family val="2"/>
    </font>
  </fonts>
  <fills count="10">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66"/>
        <bgColor indexed="64"/>
      </patternFill>
    </fill>
    <fill>
      <patternFill patternType="solid">
        <fgColor indexed="22"/>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s>
  <cellStyleXfs count="42">
    <xf numFmtId="0" fontId="0" fillId="0" borderId="0"/>
    <xf numFmtId="0" fontId="24" fillId="0" borderId="0"/>
    <xf numFmtId="0" fontId="3" fillId="0" borderId="0"/>
    <xf numFmtId="0" fontId="3" fillId="0" borderId="0"/>
    <xf numFmtId="0" fontId="42" fillId="0" borderId="0"/>
    <xf numFmtId="0" fontId="3" fillId="0" borderId="0"/>
    <xf numFmtId="14" fontId="46" fillId="0" borderId="0" applyFill="0" applyBorder="0" applyProtection="0">
      <alignment horizontal="center" vertical="top" wrapText="1"/>
      <protection locked="0"/>
    </xf>
    <xf numFmtId="14" fontId="47" fillId="0" borderId="0" applyFill="0" applyBorder="0" applyProtection="0">
      <alignment horizontal="center" vertical="top" wrapText="1"/>
      <protection locked="0"/>
    </xf>
    <xf numFmtId="14" fontId="48" fillId="0" borderId="0" applyFill="0" applyBorder="0" applyProtection="0">
      <alignment horizontal="center" vertical="top" wrapText="1"/>
      <protection locked="0"/>
    </xf>
    <xf numFmtId="14" fontId="49" fillId="0" borderId="0" applyFill="0" applyBorder="0" applyProtection="0">
      <alignment horizontal="center" vertical="top" wrapText="1"/>
      <protection locked="0"/>
    </xf>
    <xf numFmtId="14" fontId="50" fillId="0" borderId="0" applyFill="0" applyBorder="0" applyProtection="0">
      <alignment horizontal="center" vertical="top" wrapText="1"/>
      <protection locked="0"/>
    </xf>
    <xf numFmtId="0" fontId="44" fillId="0" borderId="0"/>
    <xf numFmtId="49" fontId="51" fillId="0" borderId="0" applyFill="0" applyBorder="0" applyProtection="0">
      <protection locked="0"/>
    </xf>
    <xf numFmtId="49" fontId="51" fillId="0" borderId="0" applyFill="0" applyBorder="0" applyProtection="0">
      <alignment wrapText="1"/>
      <protection locked="0"/>
    </xf>
    <xf numFmtId="49" fontId="52" fillId="0" borderId="0" applyFill="0" applyBorder="0" applyProtection="0">
      <protection locked="0"/>
    </xf>
    <xf numFmtId="49" fontId="52" fillId="0" borderId="0" applyFill="0" applyBorder="0" applyProtection="0">
      <alignment wrapText="1"/>
      <protection locked="0"/>
    </xf>
    <xf numFmtId="49" fontId="53" fillId="0" borderId="0" applyFill="0" applyBorder="0" applyProtection="0">
      <protection locked="0"/>
    </xf>
    <xf numFmtId="49" fontId="53" fillId="0" borderId="0" applyFill="0" applyBorder="0" applyProtection="0">
      <alignment wrapText="1"/>
      <protection locked="0"/>
    </xf>
    <xf numFmtId="49" fontId="54" fillId="0" borderId="0" applyFill="0" applyBorder="0" applyProtection="0">
      <protection locked="0"/>
    </xf>
    <xf numFmtId="49" fontId="54" fillId="0" borderId="0" applyFill="0" applyBorder="0" applyProtection="0">
      <alignment wrapText="1"/>
      <protection locked="0"/>
    </xf>
    <xf numFmtId="49" fontId="55" fillId="0" borderId="0" applyFill="0" applyBorder="0" applyProtection="0">
      <protection locked="0"/>
    </xf>
    <xf numFmtId="49" fontId="55" fillId="0" borderId="0" applyFill="0" applyBorder="0" applyProtection="0">
      <alignment wrapText="1"/>
      <protection locked="0"/>
    </xf>
    <xf numFmtId="49" fontId="46" fillId="0" borderId="0" applyFill="0" applyBorder="0" applyProtection="0">
      <alignment horizontal="center" vertical="top" wrapText="1"/>
      <protection locked="0"/>
    </xf>
    <xf numFmtId="49" fontId="47" fillId="0" borderId="0" applyFill="0" applyBorder="0" applyProtection="0">
      <alignment horizontal="center" vertical="top" wrapText="1"/>
      <protection locked="0"/>
    </xf>
    <xf numFmtId="49" fontId="48" fillId="0" borderId="0" applyFill="0" applyBorder="0" applyProtection="0">
      <alignment horizontal="center" vertical="top" wrapText="1"/>
      <protection locked="0"/>
    </xf>
    <xf numFmtId="49" fontId="49" fillId="0" borderId="0" applyFill="0" applyBorder="0" applyProtection="0">
      <alignment horizontal="center" vertical="top" wrapText="1"/>
      <protection locked="0"/>
    </xf>
    <xf numFmtId="49" fontId="50" fillId="0" borderId="0" applyFill="0" applyBorder="0" applyProtection="0">
      <alignment horizontal="center" vertical="top" wrapText="1"/>
      <protection locked="0"/>
    </xf>
    <xf numFmtId="3" fontId="51" fillId="0" borderId="0" applyFill="0" applyBorder="0" applyProtection="0">
      <protection locked="0"/>
    </xf>
    <xf numFmtId="3" fontId="52" fillId="0" borderId="0" applyFill="0" applyBorder="0" applyProtection="0">
      <protection locked="0"/>
    </xf>
    <xf numFmtId="3" fontId="53" fillId="0" borderId="0" applyFill="0" applyBorder="0" applyProtection="0">
      <protection locked="0"/>
    </xf>
    <xf numFmtId="3" fontId="54" fillId="0" borderId="0" applyFill="0" applyBorder="0" applyProtection="0">
      <protection locked="0"/>
    </xf>
    <xf numFmtId="3" fontId="55" fillId="0" borderId="0" applyFill="0" applyBorder="0" applyProtection="0">
      <protection locked="0"/>
    </xf>
    <xf numFmtId="164" fontId="51" fillId="0" borderId="0" applyFill="0" applyBorder="0" applyProtection="0">
      <protection locked="0"/>
    </xf>
    <xf numFmtId="164" fontId="52" fillId="0" borderId="0" applyFill="0" applyBorder="0" applyProtection="0">
      <protection locked="0"/>
    </xf>
    <xf numFmtId="164" fontId="53" fillId="0" borderId="0" applyFill="0" applyBorder="0" applyProtection="0">
      <protection locked="0"/>
    </xf>
    <xf numFmtId="164" fontId="54" fillId="0" borderId="0" applyFill="0" applyBorder="0" applyProtection="0">
      <protection locked="0"/>
    </xf>
    <xf numFmtId="164" fontId="55" fillId="0" borderId="0" applyFill="0" applyBorder="0" applyProtection="0">
      <protection locked="0"/>
    </xf>
    <xf numFmtId="4" fontId="51" fillId="0" borderId="0" applyFill="0" applyBorder="0" applyProtection="0">
      <protection locked="0"/>
    </xf>
    <xf numFmtId="4" fontId="52" fillId="0" borderId="0" applyFill="0" applyBorder="0" applyProtection="0">
      <protection locked="0"/>
    </xf>
    <xf numFmtId="4" fontId="53" fillId="0" borderId="0" applyFill="0" applyBorder="0" applyProtection="0">
      <protection locked="0"/>
    </xf>
    <xf numFmtId="4" fontId="54" fillId="0" borderId="0" applyFill="0" applyBorder="0" applyProtection="0">
      <protection locked="0"/>
    </xf>
    <xf numFmtId="4" fontId="55" fillId="0" borderId="0" applyFill="0" applyBorder="0" applyProtection="0">
      <protection locked="0"/>
    </xf>
  </cellStyleXfs>
  <cellXfs count="562">
    <xf numFmtId="0" fontId="0" fillId="0" borderId="0" xfId="0"/>
    <xf numFmtId="3" fontId="0" fillId="0" borderId="0" xfId="0" applyNumberFormat="1"/>
    <xf numFmtId="3" fontId="10" fillId="0" borderId="10" xfId="0" applyNumberFormat="1" applyFont="1" applyFill="1" applyBorder="1" applyAlignment="1" applyProtection="1">
      <alignment wrapText="1"/>
      <protection hidden="1"/>
    </xf>
    <xf numFmtId="3" fontId="3" fillId="0" borderId="11" xfId="0" applyNumberFormat="1" applyFont="1" applyFill="1" applyBorder="1" applyAlignment="1" applyProtection="1">
      <alignment wrapText="1"/>
      <protection hidden="1"/>
    </xf>
    <xf numFmtId="3" fontId="3" fillId="0" borderId="10" xfId="0" applyNumberFormat="1" applyFont="1" applyFill="1" applyBorder="1" applyAlignment="1" applyProtection="1">
      <alignment wrapText="1"/>
      <protection hidden="1"/>
    </xf>
    <xf numFmtId="3" fontId="9" fillId="0" borderId="10" xfId="0" applyNumberFormat="1" applyFont="1" applyFill="1" applyBorder="1" applyAlignment="1" applyProtection="1">
      <alignment wrapText="1"/>
      <protection hidden="1"/>
    </xf>
    <xf numFmtId="3" fontId="3" fillId="0" borderId="11" xfId="0" applyNumberFormat="1" applyFont="1" applyFill="1" applyBorder="1" applyProtection="1">
      <protection locked="0"/>
    </xf>
    <xf numFmtId="3" fontId="3" fillId="0" borderId="12" xfId="0" applyNumberFormat="1" applyFont="1" applyFill="1" applyBorder="1" applyProtection="1">
      <protection locked="0"/>
    </xf>
    <xf numFmtId="0" fontId="0" fillId="0" borderId="0" xfId="0" applyAlignment="1"/>
    <xf numFmtId="0" fontId="0" fillId="0" borderId="0" xfId="0" applyAlignment="1">
      <alignment vertical="top"/>
    </xf>
    <xf numFmtId="3" fontId="3" fillId="2" borderId="0" xfId="0" applyNumberFormat="1" applyFont="1" applyFill="1" applyBorder="1" applyAlignment="1" applyProtection="1">
      <alignment horizontal="center" vertical="center"/>
      <protection hidden="1"/>
    </xf>
    <xf numFmtId="1" fontId="3" fillId="2" borderId="0" xfId="0" applyNumberFormat="1" applyFont="1" applyFill="1" applyBorder="1" applyAlignment="1" applyProtection="1">
      <alignment horizontal="center" vertical="center"/>
      <protection hidden="1"/>
    </xf>
    <xf numFmtId="0" fontId="14" fillId="0" borderId="0" xfId="0" applyFont="1"/>
    <xf numFmtId="0" fontId="15" fillId="0" borderId="0" xfId="0" applyFont="1"/>
    <xf numFmtId="0" fontId="16" fillId="0" borderId="0" xfId="0" applyFont="1"/>
    <xf numFmtId="0" fontId="15" fillId="0" borderId="0" xfId="0" applyFont="1" applyAlignment="1">
      <alignment horizontal="center"/>
    </xf>
    <xf numFmtId="3" fontId="15" fillId="0" borderId="0" xfId="0" applyNumberFormat="1" applyFont="1"/>
    <xf numFmtId="0" fontId="17" fillId="0" borderId="0" xfId="0" applyFont="1"/>
    <xf numFmtId="0" fontId="0" fillId="0" borderId="0" xfId="0" applyAlignment="1">
      <alignment vertical="center"/>
    </xf>
    <xf numFmtId="3" fontId="0" fillId="0" borderId="0" xfId="0" applyNumberFormat="1" applyAlignment="1">
      <alignment vertical="center"/>
    </xf>
    <xf numFmtId="0" fontId="1" fillId="0" borderId="0" xfId="0" applyFont="1"/>
    <xf numFmtId="0" fontId="1" fillId="2" borderId="0" xfId="0" applyFont="1" applyFill="1"/>
    <xf numFmtId="3" fontId="1" fillId="2" borderId="0" xfId="0" applyNumberFormat="1" applyFont="1" applyFill="1"/>
    <xf numFmtId="0" fontId="0" fillId="0" borderId="1" xfId="0" applyBorder="1" applyAlignment="1"/>
    <xf numFmtId="3" fontId="3" fillId="0" borderId="3" xfId="0" applyNumberFormat="1" applyFont="1" applyBorder="1" applyAlignment="1" applyProtection="1">
      <alignment wrapText="1"/>
      <protection hidden="1"/>
    </xf>
    <xf numFmtId="3" fontId="5" fillId="0" borderId="3" xfId="0" applyNumberFormat="1" applyFont="1" applyBorder="1" applyAlignment="1" applyProtection="1">
      <alignment wrapText="1"/>
      <protection hidden="1"/>
    </xf>
    <xf numFmtId="3" fontId="3" fillId="2" borderId="8" xfId="0" applyNumberFormat="1" applyFont="1" applyFill="1" applyBorder="1" applyAlignment="1" applyProtection="1">
      <alignment horizontal="center" vertical="center" wrapText="1"/>
      <protection hidden="1"/>
    </xf>
    <xf numFmtId="3" fontId="3" fillId="2" borderId="8" xfId="0" applyNumberFormat="1" applyFont="1" applyFill="1" applyBorder="1" applyAlignment="1" applyProtection="1">
      <alignment horizontal="center" vertical="top" wrapText="1"/>
      <protection hidden="1"/>
    </xf>
    <xf numFmtId="0" fontId="3" fillId="2" borderId="9" xfId="0" applyNumberFormat="1" applyFont="1" applyFill="1" applyBorder="1" applyAlignment="1" applyProtection="1">
      <alignment horizontal="center" vertical="center" wrapText="1"/>
      <protection hidden="1"/>
    </xf>
    <xf numFmtId="0" fontId="3" fillId="2" borderId="8" xfId="0" applyNumberFormat="1" applyFont="1" applyFill="1" applyBorder="1" applyAlignment="1" applyProtection="1">
      <alignment horizontal="center" vertical="center" wrapText="1"/>
      <protection hidden="1"/>
    </xf>
    <xf numFmtId="3" fontId="3" fillId="2" borderId="10" xfId="0" applyNumberFormat="1" applyFont="1" applyFill="1" applyBorder="1" applyAlignment="1" applyProtection="1">
      <alignment horizontal="center" vertical="center"/>
      <protection hidden="1"/>
    </xf>
    <xf numFmtId="1" fontId="3" fillId="2" borderId="11" xfId="0" applyNumberFormat="1" applyFont="1" applyFill="1" applyBorder="1" applyAlignment="1" applyProtection="1">
      <alignment horizontal="center" vertical="center" wrapText="1"/>
      <protection hidden="1"/>
    </xf>
    <xf numFmtId="1" fontId="3" fillId="2" borderId="8" xfId="0" applyNumberFormat="1" applyFont="1" applyFill="1" applyBorder="1" applyAlignment="1" applyProtection="1">
      <alignment horizontal="center" vertical="top" wrapText="1"/>
      <protection hidden="1"/>
    </xf>
    <xf numFmtId="1" fontId="3" fillId="2" borderId="11" xfId="0" applyNumberFormat="1" applyFont="1" applyFill="1" applyBorder="1" applyAlignment="1" applyProtection="1">
      <alignment horizontal="center" vertical="center"/>
      <protection hidden="1"/>
    </xf>
    <xf numFmtId="3" fontId="3" fillId="0" borderId="2" xfId="0" applyNumberFormat="1" applyFont="1" applyBorder="1" applyAlignment="1" applyProtection="1">
      <alignment horizontal="center"/>
      <protection hidden="1"/>
    </xf>
    <xf numFmtId="3" fontId="8" fillId="0" borderId="11" xfId="0" applyNumberFormat="1" applyFont="1" applyBorder="1" applyAlignment="1" applyProtection="1">
      <alignment horizontal="center" vertical="center"/>
      <protection hidden="1"/>
    </xf>
    <xf numFmtId="3" fontId="3" fillId="0" borderId="6" xfId="0" applyNumberFormat="1" applyFont="1" applyBorder="1" applyAlignment="1" applyProtection="1">
      <alignment wrapText="1"/>
      <protection hidden="1"/>
    </xf>
    <xf numFmtId="3" fontId="9" fillId="0" borderId="6" xfId="0" applyNumberFormat="1" applyFont="1" applyBorder="1" applyAlignment="1" applyProtection="1">
      <alignment wrapText="1"/>
      <protection hidden="1"/>
    </xf>
    <xf numFmtId="3" fontId="3" fillId="0" borderId="8" xfId="0" applyNumberFormat="1" applyFont="1" applyBorder="1" applyAlignment="1" applyProtection="1">
      <alignment wrapText="1"/>
      <protection hidden="1"/>
    </xf>
    <xf numFmtId="3" fontId="10" fillId="0" borderId="11" xfId="0" applyNumberFormat="1" applyFont="1" applyBorder="1" applyAlignment="1" applyProtection="1">
      <alignment horizontal="center" vertical="center" wrapText="1"/>
      <protection hidden="1"/>
    </xf>
    <xf numFmtId="3" fontId="10" fillId="0" borderId="10" xfId="0" applyNumberFormat="1" applyFont="1" applyBorder="1" applyAlignment="1">
      <alignment horizontal="left" wrapText="1" indent="1"/>
    </xf>
    <xf numFmtId="3" fontId="10" fillId="0" borderId="10" xfId="0" applyNumberFormat="1" applyFont="1" applyBorder="1" applyAlignment="1" applyProtection="1">
      <alignment wrapText="1"/>
      <protection hidden="1"/>
    </xf>
    <xf numFmtId="3" fontId="10" fillId="0" borderId="11" xfId="0" applyNumberFormat="1" applyFont="1" applyBorder="1" applyAlignment="1" applyProtection="1">
      <alignment wrapText="1"/>
      <protection hidden="1"/>
    </xf>
    <xf numFmtId="3" fontId="10" fillId="0" borderId="11" xfId="0" applyNumberFormat="1" applyFont="1" applyBorder="1" applyAlignment="1" applyProtection="1">
      <alignment horizontal="center" vertical="center"/>
      <protection hidden="1"/>
    </xf>
    <xf numFmtId="3" fontId="3" fillId="0" borderId="11" xfId="0" applyNumberFormat="1" applyFont="1" applyBorder="1" applyAlignment="1" applyProtection="1">
      <alignment wrapText="1"/>
      <protection hidden="1"/>
    </xf>
    <xf numFmtId="3" fontId="3" fillId="0" borderId="10" xfId="0" applyNumberFormat="1" applyFont="1" applyBorder="1" applyAlignment="1" applyProtection="1">
      <alignment wrapText="1"/>
      <protection hidden="1"/>
    </xf>
    <xf numFmtId="3" fontId="9" fillId="0" borderId="10" xfId="0" applyNumberFormat="1" applyFont="1" applyBorder="1" applyAlignment="1" applyProtection="1">
      <alignment wrapText="1"/>
      <protection hidden="1"/>
    </xf>
    <xf numFmtId="3" fontId="7" fillId="3" borderId="10" xfId="0" applyNumberFormat="1" applyFont="1" applyFill="1" applyBorder="1" applyAlignment="1" applyProtection="1">
      <alignment wrapText="1"/>
      <protection hidden="1"/>
    </xf>
    <xf numFmtId="3" fontId="11" fillId="3" borderId="10" xfId="0" applyNumberFormat="1" applyFont="1" applyFill="1" applyBorder="1" applyAlignment="1" applyProtection="1">
      <alignment wrapText="1"/>
      <protection hidden="1"/>
    </xf>
    <xf numFmtId="3" fontId="7" fillId="3" borderId="11" xfId="0" applyNumberFormat="1" applyFont="1" applyFill="1" applyBorder="1" applyAlignment="1" applyProtection="1">
      <alignment wrapText="1"/>
      <protection hidden="1"/>
    </xf>
    <xf numFmtId="3" fontId="7" fillId="3" borderId="11" xfId="0" applyNumberFormat="1" applyFont="1" applyFill="1" applyBorder="1" applyProtection="1">
      <protection hidden="1"/>
    </xf>
    <xf numFmtId="3" fontId="7" fillId="3" borderId="12" xfId="0" applyNumberFormat="1" applyFont="1" applyFill="1" applyBorder="1" applyProtection="1">
      <protection hidden="1"/>
    </xf>
    <xf numFmtId="3" fontId="7" fillId="4" borderId="13" xfId="0" applyNumberFormat="1" applyFont="1" applyFill="1" applyBorder="1" applyAlignment="1" applyProtection="1">
      <alignment wrapText="1"/>
      <protection hidden="1"/>
    </xf>
    <xf numFmtId="3" fontId="11" fillId="4" borderId="13" xfId="0" applyNumberFormat="1" applyFont="1" applyFill="1" applyBorder="1" applyAlignment="1" applyProtection="1">
      <alignment wrapText="1"/>
      <protection hidden="1"/>
    </xf>
    <xf numFmtId="3" fontId="7" fillId="4" borderId="14" xfId="0" applyNumberFormat="1" applyFont="1" applyFill="1" applyBorder="1" applyAlignment="1" applyProtection="1">
      <alignment wrapText="1"/>
      <protection hidden="1"/>
    </xf>
    <xf numFmtId="3" fontId="3" fillId="0" borderId="11" xfId="0" applyNumberFormat="1" applyFont="1" applyBorder="1" applyProtection="1">
      <protection locked="0"/>
    </xf>
    <xf numFmtId="3" fontId="3" fillId="0" borderId="12" xfId="0" applyNumberFormat="1" applyFont="1" applyBorder="1" applyProtection="1">
      <protection locked="0"/>
    </xf>
    <xf numFmtId="3" fontId="7" fillId="4" borderId="10" xfId="0" applyNumberFormat="1" applyFont="1" applyFill="1" applyBorder="1" applyAlignment="1" applyProtection="1">
      <alignment wrapText="1"/>
      <protection hidden="1"/>
    </xf>
    <xf numFmtId="3" fontId="11" fillId="4" borderId="10" xfId="0" applyNumberFormat="1" applyFont="1" applyFill="1" applyBorder="1" applyAlignment="1" applyProtection="1">
      <alignment wrapText="1"/>
      <protection hidden="1"/>
    </xf>
    <xf numFmtId="3" fontId="7" fillId="4" borderId="11" xfId="0" applyNumberFormat="1" applyFont="1" applyFill="1" applyBorder="1" applyAlignment="1" applyProtection="1">
      <alignment wrapText="1"/>
      <protection hidden="1"/>
    </xf>
    <xf numFmtId="3" fontId="7" fillId="4" borderId="13" xfId="0" applyNumberFormat="1" applyFont="1" applyFill="1" applyBorder="1" applyAlignment="1" applyProtection="1">
      <protection hidden="1"/>
    </xf>
    <xf numFmtId="3" fontId="7" fillId="4" borderId="14" xfId="0" applyNumberFormat="1" applyFont="1" applyFill="1" applyBorder="1" applyProtection="1">
      <protection hidden="1"/>
    </xf>
    <xf numFmtId="3" fontId="7" fillId="4" borderId="15" xfId="0" applyNumberFormat="1" applyFont="1" applyFill="1" applyBorder="1" applyProtection="1">
      <protection hidden="1"/>
    </xf>
    <xf numFmtId="3" fontId="8" fillId="0" borderId="16" xfId="0" applyNumberFormat="1" applyFont="1" applyBorder="1" applyAlignment="1" applyProtection="1">
      <alignment horizontal="center" vertical="center"/>
      <protection hidden="1"/>
    </xf>
    <xf numFmtId="3" fontId="7" fillId="4" borderId="5" xfId="0" applyNumberFormat="1" applyFont="1" applyFill="1" applyBorder="1" applyAlignment="1" applyProtection="1">
      <alignment wrapText="1"/>
      <protection hidden="1"/>
    </xf>
    <xf numFmtId="3" fontId="11" fillId="4" borderId="5" xfId="0" applyNumberFormat="1" applyFont="1" applyFill="1" applyBorder="1" applyAlignment="1" applyProtection="1">
      <alignment wrapText="1"/>
      <protection hidden="1"/>
    </xf>
    <xf numFmtId="3" fontId="7" fillId="4" borderId="16" xfId="0" applyNumberFormat="1" applyFont="1" applyFill="1" applyBorder="1" applyProtection="1">
      <protection hidden="1"/>
    </xf>
    <xf numFmtId="3" fontId="7" fillId="4" borderId="17" xfId="0" applyNumberFormat="1" applyFont="1" applyFill="1" applyBorder="1" applyProtection="1">
      <protection hidden="1"/>
    </xf>
    <xf numFmtId="3" fontId="10" fillId="0" borderId="6" xfId="0" applyNumberFormat="1" applyFont="1" applyBorder="1" applyAlignment="1" applyProtection="1">
      <alignment wrapText="1"/>
      <protection hidden="1"/>
    </xf>
    <xf numFmtId="3" fontId="18" fillId="3" borderId="10" xfId="0" applyNumberFormat="1" applyFont="1" applyFill="1" applyBorder="1" applyAlignment="1" applyProtection="1">
      <alignment wrapText="1"/>
      <protection hidden="1"/>
    </xf>
    <xf numFmtId="3" fontId="18" fillId="4" borderId="13" xfId="0" applyNumberFormat="1" applyFont="1" applyFill="1" applyBorder="1" applyAlignment="1" applyProtection="1">
      <alignment wrapText="1"/>
      <protection hidden="1"/>
    </xf>
    <xf numFmtId="3" fontId="18" fillId="4" borderId="10" xfId="0" applyNumberFormat="1" applyFont="1" applyFill="1" applyBorder="1" applyAlignment="1" applyProtection="1">
      <alignment wrapText="1"/>
      <protection hidden="1"/>
    </xf>
    <xf numFmtId="3" fontId="18" fillId="4" borderId="5" xfId="0" applyNumberFormat="1" applyFont="1" applyFill="1" applyBorder="1" applyAlignment="1" applyProtection="1">
      <alignment wrapText="1"/>
      <protection hidden="1"/>
    </xf>
    <xf numFmtId="0" fontId="19" fillId="0" borderId="0" xfId="0" applyFont="1"/>
    <xf numFmtId="3" fontId="10" fillId="0" borderId="11" xfId="0" applyNumberFormat="1" applyFont="1" applyBorder="1" applyAlignment="1" applyProtection="1">
      <alignment wrapText="1"/>
      <protection locked="0"/>
    </xf>
    <xf numFmtId="3" fontId="10" fillId="0" borderId="12" xfId="0" applyNumberFormat="1" applyFont="1" applyBorder="1" applyAlignment="1" applyProtection="1">
      <alignment wrapText="1"/>
      <protection locked="0"/>
    </xf>
    <xf numFmtId="0" fontId="20" fillId="0" borderId="0" xfId="0" applyFont="1"/>
    <xf numFmtId="3" fontId="10" fillId="0" borderId="11" xfId="0" applyNumberFormat="1" applyFont="1" applyBorder="1" applyProtection="1">
      <protection locked="0"/>
    </xf>
    <xf numFmtId="0" fontId="21" fillId="0" borderId="0" xfId="0" applyFont="1"/>
    <xf numFmtId="0" fontId="15" fillId="0" borderId="0" xfId="0" applyFont="1" applyAlignment="1">
      <alignment vertical="top"/>
    </xf>
    <xf numFmtId="0" fontId="0" fillId="0" borderId="0" xfId="0" applyBorder="1"/>
    <xf numFmtId="0" fontId="14" fillId="0" borderId="0" xfId="0" applyFont="1" applyBorder="1"/>
    <xf numFmtId="3" fontId="10" fillId="0" borderId="12" xfId="0" applyNumberFormat="1" applyFont="1" applyBorder="1" applyProtection="1">
      <protection locked="0"/>
    </xf>
    <xf numFmtId="3" fontId="10" fillId="0" borderId="10" xfId="0" quotePrefix="1" applyNumberFormat="1" applyFont="1" applyBorder="1" applyAlignment="1">
      <alignment horizontal="left" wrapText="1" indent="1"/>
    </xf>
    <xf numFmtId="0" fontId="22" fillId="0" borderId="0" xfId="0" applyFont="1"/>
    <xf numFmtId="0" fontId="16" fillId="0" borderId="0" xfId="0" applyFont="1" applyBorder="1"/>
    <xf numFmtId="0" fontId="0" fillId="0" borderId="10" xfId="0" applyBorder="1"/>
    <xf numFmtId="3" fontId="3" fillId="0" borderId="11" xfId="0" applyNumberFormat="1" applyFont="1" applyBorder="1" applyAlignment="1" applyProtection="1">
      <alignment wrapText="1"/>
      <protection locked="0"/>
    </xf>
    <xf numFmtId="3" fontId="3" fillId="0" borderId="0" xfId="0" applyNumberFormat="1" applyFont="1" applyProtection="1">
      <protection hidden="1"/>
    </xf>
    <xf numFmtId="3" fontId="8" fillId="0" borderId="0" xfId="0" applyNumberFormat="1" applyFont="1" applyProtection="1">
      <protection hidden="1"/>
    </xf>
    <xf numFmtId="3" fontId="9" fillId="0" borderId="11" xfId="0" applyNumberFormat="1" applyFont="1" applyBorder="1" applyProtection="1">
      <protection locked="0"/>
    </xf>
    <xf numFmtId="3" fontId="9" fillId="0" borderId="12" xfId="0" applyNumberFormat="1" applyFont="1" applyBorder="1" applyProtection="1">
      <protection locked="0"/>
    </xf>
    <xf numFmtId="3" fontId="15" fillId="0" borderId="0" xfId="0" applyNumberFormat="1" applyFont="1" applyFill="1" applyBorder="1"/>
    <xf numFmtId="0" fontId="20" fillId="0" borderId="0" xfId="0" applyFont="1" applyAlignment="1">
      <alignment vertical="top"/>
    </xf>
    <xf numFmtId="0" fontId="15" fillId="0" borderId="0" xfId="0" applyFont="1" applyAlignment="1">
      <alignment horizontal="left"/>
    </xf>
    <xf numFmtId="0" fontId="15" fillId="0" borderId="0" xfId="0" applyFont="1" applyAlignment="1">
      <alignment horizontal="right"/>
    </xf>
    <xf numFmtId="0" fontId="15" fillId="0" borderId="0" xfId="0" applyFont="1" applyFill="1" applyBorder="1" applyAlignment="1">
      <alignment horizontal="center"/>
    </xf>
    <xf numFmtId="0" fontId="15" fillId="0" borderId="10" xfId="0" applyFont="1" applyBorder="1"/>
    <xf numFmtId="0" fontId="15" fillId="0" borderId="0" xfId="0" applyFont="1" applyBorder="1"/>
    <xf numFmtId="0" fontId="23" fillId="0" borderId="0" xfId="0" applyFont="1"/>
    <xf numFmtId="0" fontId="3" fillId="0" borderId="0" xfId="1" applyFont="1"/>
    <xf numFmtId="0" fontId="7" fillId="0" borderId="0" xfId="0" applyFont="1" applyAlignment="1">
      <alignment horizontal="right"/>
    </xf>
    <xf numFmtId="0" fontId="4" fillId="0" borderId="0" xfId="1" applyFont="1"/>
    <xf numFmtId="0" fontId="3" fillId="0" borderId="0" xfId="0" applyFont="1"/>
    <xf numFmtId="0" fontId="25" fillId="0" borderId="0" xfId="1" applyFont="1"/>
    <xf numFmtId="0" fontId="3" fillId="0" borderId="9" xfId="0" applyFont="1" applyBorder="1" applyAlignment="1">
      <alignment horizontal="center"/>
    </xf>
    <xf numFmtId="0" fontId="3" fillId="0" borderId="0" xfId="0" applyFont="1" applyBorder="1" applyAlignment="1">
      <alignment horizontal="center"/>
    </xf>
    <xf numFmtId="0" fontId="3" fillId="0" borderId="12" xfId="0" applyFont="1" applyBorder="1" applyAlignment="1">
      <alignment horizontal="center"/>
    </xf>
    <xf numFmtId="0" fontId="26" fillId="0" borderId="10" xfId="1" applyFont="1" applyBorder="1" applyAlignment="1">
      <alignment horizontal="center"/>
    </xf>
    <xf numFmtId="0" fontId="2" fillId="0" borderId="10" xfId="1" applyFont="1" applyBorder="1" applyAlignment="1">
      <alignment vertical="center"/>
    </xf>
    <xf numFmtId="0" fontId="27" fillId="0" borderId="0" xfId="1" applyFont="1" applyBorder="1"/>
    <xf numFmtId="0" fontId="27" fillId="0" borderId="12" xfId="1" applyFont="1" applyBorder="1"/>
    <xf numFmtId="0" fontId="26" fillId="0" borderId="5" xfId="1" applyFont="1" applyBorder="1" applyAlignment="1">
      <alignment vertical="top"/>
    </xf>
    <xf numFmtId="0" fontId="26" fillId="0" borderId="1" xfId="1" applyFont="1" applyBorder="1" applyAlignment="1">
      <alignment vertical="top"/>
    </xf>
    <xf numFmtId="0" fontId="26" fillId="0" borderId="10" xfId="1" applyFont="1" applyBorder="1" applyAlignment="1">
      <alignment horizontal="center" vertical="center"/>
    </xf>
    <xf numFmtId="0" fontId="26" fillId="0" borderId="0" xfId="1" applyFont="1" applyBorder="1" applyAlignment="1">
      <alignment horizontal="center" vertical="center"/>
    </xf>
    <xf numFmtId="0" fontId="26" fillId="0" borderId="12" xfId="1" applyFont="1" applyBorder="1" applyAlignment="1">
      <alignment horizontal="center" vertical="center"/>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24" fillId="0" borderId="0" xfId="1"/>
    <xf numFmtId="0" fontId="24" fillId="0" borderId="0" xfId="1" applyAlignment="1">
      <alignment vertical="center"/>
    </xf>
    <xf numFmtId="0" fontId="3" fillId="0" borderId="0" xfId="0" applyFont="1" applyBorder="1" applyAlignment="1">
      <alignment horizontal="center" vertical="center"/>
    </xf>
    <xf numFmtId="0" fontId="2" fillId="0" borderId="0" xfId="0" applyFont="1" applyBorder="1" applyAlignment="1">
      <alignment horizontal="left" vertical="top"/>
    </xf>
    <xf numFmtId="0" fontId="3" fillId="0" borderId="0" xfId="0" applyFont="1" applyBorder="1" applyAlignment="1">
      <alignment horizontal="center" vertical="top"/>
    </xf>
    <xf numFmtId="0" fontId="29" fillId="0" borderId="0" xfId="0" applyFont="1"/>
    <xf numFmtId="3" fontId="30" fillId="0" borderId="0" xfId="0" applyNumberFormat="1" applyFont="1" applyProtection="1">
      <protection hidden="1"/>
    </xf>
    <xf numFmtId="0" fontId="31" fillId="0" borderId="0" xfId="0" applyFont="1"/>
    <xf numFmtId="3" fontId="31" fillId="0" borderId="6" xfId="0" applyNumberFormat="1" applyFont="1" applyBorder="1" applyAlignment="1" applyProtection="1">
      <alignment horizontal="left" wrapText="1"/>
      <protection hidden="1"/>
    </xf>
    <xf numFmtId="3" fontId="31" fillId="0" borderId="9" xfId="0" applyNumberFormat="1" applyFont="1" applyBorder="1" applyAlignment="1" applyProtection="1">
      <alignment horizontal="left" wrapText="1"/>
      <protection hidden="1"/>
    </xf>
    <xf numFmtId="3" fontId="34" fillId="0" borderId="9" xfId="0" applyNumberFormat="1" applyFont="1" applyBorder="1" applyAlignment="1" applyProtection="1">
      <alignment horizontal="left" wrapText="1"/>
      <protection hidden="1"/>
    </xf>
    <xf numFmtId="0" fontId="33" fillId="0" borderId="8" xfId="0" applyFont="1" applyFill="1" applyBorder="1" applyAlignment="1">
      <alignment horizontal="center" vertical="center" wrapText="1"/>
    </xf>
    <xf numFmtId="0" fontId="33" fillId="4" borderId="8" xfId="0" applyFont="1" applyFill="1" applyBorder="1" applyAlignment="1">
      <alignment horizontal="left" vertical="center" wrapText="1"/>
    </xf>
    <xf numFmtId="0" fontId="33" fillId="4" borderId="6" xfId="0" applyFont="1" applyFill="1" applyBorder="1" applyAlignment="1">
      <alignment vertical="center" wrapText="1"/>
    </xf>
    <xf numFmtId="3" fontId="31" fillId="2" borderId="8" xfId="0" applyNumberFormat="1" applyFont="1" applyFill="1" applyBorder="1" applyAlignment="1" applyProtection="1">
      <alignment horizontal="center" vertical="center" wrapText="1"/>
      <protection hidden="1"/>
    </xf>
    <xf numFmtId="0" fontId="31" fillId="2" borderId="9" xfId="0" applyNumberFormat="1" applyFont="1" applyFill="1" applyBorder="1" applyAlignment="1" applyProtection="1">
      <alignment horizontal="center" vertical="center" wrapText="1"/>
      <protection hidden="1"/>
    </xf>
    <xf numFmtId="0" fontId="31" fillId="2" borderId="8" xfId="0" applyNumberFormat="1" applyFont="1" applyFill="1" applyBorder="1" applyAlignment="1" applyProtection="1">
      <alignment horizontal="center" vertical="center" wrapText="1"/>
      <protection hidden="1"/>
    </xf>
    <xf numFmtId="0" fontId="31" fillId="0" borderId="0" xfId="0" applyFont="1" applyFill="1" applyAlignment="1"/>
    <xf numFmtId="0" fontId="33" fillId="0" borderId="16" xfId="0" applyFont="1" applyFill="1" applyBorder="1" applyAlignment="1">
      <alignment horizontal="center" vertical="center" wrapText="1"/>
    </xf>
    <xf numFmtId="0" fontId="33" fillId="4" borderId="16" xfId="0" applyFont="1" applyFill="1" applyBorder="1" applyAlignment="1">
      <alignment horizontal="center" vertical="center" wrapText="1"/>
    </xf>
    <xf numFmtId="1" fontId="31" fillId="2" borderId="16" xfId="0" applyNumberFormat="1" applyFont="1" applyFill="1" applyBorder="1" applyAlignment="1" applyProtection="1">
      <alignment horizontal="center" vertical="center" wrapText="1"/>
      <protection hidden="1"/>
    </xf>
    <xf numFmtId="1" fontId="31" fillId="2" borderId="16" xfId="0" applyNumberFormat="1" applyFont="1" applyFill="1" applyBorder="1" applyAlignment="1" applyProtection="1">
      <alignment horizontal="center" vertical="center"/>
      <protection hidden="1"/>
    </xf>
    <xf numFmtId="1" fontId="31" fillId="2" borderId="1" xfId="0" applyNumberFormat="1" applyFont="1" applyFill="1" applyBorder="1" applyAlignment="1" applyProtection="1">
      <alignment horizontal="center" vertical="center"/>
      <protection hidden="1"/>
    </xf>
    <xf numFmtId="38" fontId="33" fillId="0" borderId="11" xfId="0" applyNumberFormat="1" applyFont="1" applyBorder="1"/>
    <xf numFmtId="0" fontId="35" fillId="0" borderId="11" xfId="0" applyFont="1" applyBorder="1"/>
    <xf numFmtId="38" fontId="31" fillId="0" borderId="10" xfId="0" applyNumberFormat="1" applyFont="1" applyBorder="1" applyAlignment="1">
      <alignment horizontal="left" wrapText="1"/>
    </xf>
    <xf numFmtId="38" fontId="31" fillId="6" borderId="11" xfId="0" applyNumberFormat="1" applyFont="1" applyFill="1" applyBorder="1" applyAlignment="1">
      <alignment horizontal="left" wrapText="1"/>
    </xf>
    <xf numFmtId="38" fontId="31" fillId="0" borderId="11" xfId="0" applyNumberFormat="1" applyFont="1" applyFill="1" applyBorder="1"/>
    <xf numFmtId="38" fontId="31" fillId="0" borderId="11" xfId="0" applyNumberFormat="1" applyFont="1" applyBorder="1"/>
    <xf numFmtId="38" fontId="31" fillId="0" borderId="10" xfId="0" applyNumberFormat="1" applyFont="1" applyBorder="1"/>
    <xf numFmtId="0" fontId="33" fillId="0" borderId="11" xfId="0" applyFont="1" applyBorder="1"/>
    <xf numFmtId="38" fontId="31" fillId="0" borderId="12" xfId="0" applyNumberFormat="1" applyFont="1" applyFill="1" applyBorder="1"/>
    <xf numFmtId="38" fontId="31" fillId="0" borderId="12" xfId="0" applyNumberFormat="1" applyFont="1" applyBorder="1"/>
    <xf numFmtId="38" fontId="31" fillId="0" borderId="0" xfId="0" applyNumberFormat="1" applyFont="1" applyBorder="1"/>
    <xf numFmtId="0" fontId="33" fillId="3" borderId="11" xfId="0" applyFont="1" applyFill="1" applyBorder="1"/>
    <xf numFmtId="38" fontId="31" fillId="3" borderId="10" xfId="0" applyNumberFormat="1" applyFont="1" applyFill="1" applyBorder="1" applyAlignment="1">
      <alignment horizontal="left" wrapText="1"/>
    </xf>
    <xf numFmtId="38" fontId="31" fillId="3" borderId="11" xfId="0" applyNumberFormat="1" applyFont="1" applyFill="1" applyBorder="1" applyAlignment="1">
      <alignment horizontal="left" wrapText="1"/>
    </xf>
    <xf numFmtId="38" fontId="34" fillId="3" borderId="12" xfId="0" applyNumberFormat="1" applyFont="1" applyFill="1" applyBorder="1"/>
    <xf numFmtId="0" fontId="31" fillId="0" borderId="0" xfId="0" applyFont="1" applyBorder="1"/>
    <xf numFmtId="38" fontId="34" fillId="0" borderId="10" xfId="0" applyNumberFormat="1" applyFont="1" applyBorder="1" applyAlignment="1">
      <alignment horizontal="left" wrapText="1"/>
    </xf>
    <xf numFmtId="0" fontId="35" fillId="7" borderId="8" xfId="0" applyFont="1" applyFill="1" applyBorder="1"/>
    <xf numFmtId="38" fontId="36" fillId="7" borderId="6" xfId="0" applyNumberFormat="1" applyFont="1" applyFill="1" applyBorder="1" applyAlignment="1">
      <alignment horizontal="left" wrapText="1"/>
    </xf>
    <xf numFmtId="38" fontId="31" fillId="7" borderId="6" xfId="0" applyNumberFormat="1" applyFont="1" applyFill="1" applyBorder="1" applyAlignment="1">
      <alignment horizontal="left" wrapText="1"/>
    </xf>
    <xf numFmtId="38" fontId="31" fillId="7" borderId="8" xfId="0" applyNumberFormat="1" applyFont="1" applyFill="1" applyBorder="1" applyAlignment="1">
      <alignment horizontal="left" wrapText="1"/>
    </xf>
    <xf numFmtId="38" fontId="31" fillId="7" borderId="8" xfId="0" applyNumberFormat="1" applyFont="1" applyFill="1" applyBorder="1"/>
    <xf numFmtId="38" fontId="31" fillId="7" borderId="7" xfId="0" applyNumberFormat="1" applyFont="1" applyFill="1" applyBorder="1"/>
    <xf numFmtId="38" fontId="31" fillId="7" borderId="6" xfId="0" applyNumberFormat="1" applyFont="1" applyFill="1" applyBorder="1"/>
    <xf numFmtId="0" fontId="35" fillId="7" borderId="11" xfId="0" applyFont="1" applyFill="1" applyBorder="1"/>
    <xf numFmtId="38" fontId="31" fillId="7" borderId="10" xfId="0" applyNumberFormat="1" applyFont="1" applyFill="1" applyBorder="1" applyAlignment="1">
      <alignment horizontal="left" vertical="top" wrapText="1"/>
    </xf>
    <xf numFmtId="38" fontId="31" fillId="7" borderId="10" xfId="0" applyNumberFormat="1" applyFont="1" applyFill="1" applyBorder="1" applyAlignment="1">
      <alignment horizontal="left" wrapText="1"/>
    </xf>
    <xf numFmtId="38" fontId="31" fillId="7" borderId="11" xfId="0" applyNumberFormat="1" applyFont="1" applyFill="1" applyBorder="1" applyAlignment="1">
      <alignment horizontal="left" wrapText="1"/>
    </xf>
    <xf numFmtId="38" fontId="31" fillId="7" borderId="11" xfId="0" applyNumberFormat="1" applyFont="1" applyFill="1" applyBorder="1" applyAlignment="1">
      <alignment vertical="top"/>
    </xf>
    <xf numFmtId="38" fontId="31" fillId="7" borderId="12" xfId="0" applyNumberFormat="1" applyFont="1" applyFill="1" applyBorder="1" applyAlignment="1">
      <alignment vertical="top"/>
    </xf>
    <xf numFmtId="38" fontId="31" fillId="7" borderId="10" xfId="0" applyNumberFormat="1" applyFont="1" applyFill="1" applyBorder="1" applyAlignment="1">
      <alignment vertical="top"/>
    </xf>
    <xf numFmtId="38" fontId="31" fillId="7" borderId="11" xfId="0" applyNumberFormat="1" applyFont="1" applyFill="1" applyBorder="1"/>
    <xf numFmtId="38" fontId="31" fillId="7" borderId="12" xfId="0" applyNumberFormat="1" applyFont="1" applyFill="1" applyBorder="1"/>
    <xf numFmtId="38" fontId="31" fillId="7" borderId="10" xfId="0" applyNumberFormat="1" applyFont="1" applyFill="1" applyBorder="1"/>
    <xf numFmtId="0" fontId="35" fillId="7" borderId="16" xfId="0" applyFont="1" applyFill="1" applyBorder="1"/>
    <xf numFmtId="38" fontId="31" fillId="7" borderId="5" xfId="0" applyNumberFormat="1" applyFont="1" applyFill="1" applyBorder="1" applyAlignment="1">
      <alignment horizontal="left" wrapText="1"/>
    </xf>
    <xf numFmtId="38" fontId="31" fillId="7" borderId="16" xfId="0" applyNumberFormat="1" applyFont="1" applyFill="1" applyBorder="1" applyAlignment="1">
      <alignment horizontal="left" wrapText="1"/>
    </xf>
    <xf numFmtId="38" fontId="31" fillId="7" borderId="16" xfId="0" applyNumberFormat="1" applyFont="1" applyFill="1" applyBorder="1"/>
    <xf numFmtId="38" fontId="31" fillId="7" borderId="17" xfId="0" applyNumberFormat="1" applyFont="1" applyFill="1" applyBorder="1"/>
    <xf numFmtId="38" fontId="31" fillId="7" borderId="5" xfId="0" applyNumberFormat="1" applyFont="1" applyFill="1" applyBorder="1"/>
    <xf numFmtId="38" fontId="31" fillId="0" borderId="10" xfId="0" applyNumberFormat="1" applyFont="1" applyBorder="1" applyAlignment="1">
      <alignment horizontal="left" vertical="top" wrapText="1"/>
    </xf>
    <xf numFmtId="38" fontId="31" fillId="0" borderId="11" xfId="0" applyNumberFormat="1" applyFont="1" applyFill="1" applyBorder="1" applyAlignment="1">
      <alignment vertical="top"/>
    </xf>
    <xf numFmtId="38" fontId="31" fillId="0" borderId="12" xfId="0" applyNumberFormat="1" applyFont="1" applyBorder="1" applyAlignment="1">
      <alignment vertical="top"/>
    </xf>
    <xf numFmtId="38" fontId="31" fillId="0" borderId="11" xfId="0" applyNumberFormat="1" applyFont="1" applyBorder="1" applyAlignment="1">
      <alignment vertical="top"/>
    </xf>
    <xf numFmtId="38" fontId="31" fillId="0" borderId="10" xfId="0" applyNumberFormat="1" applyFont="1" applyBorder="1" applyAlignment="1">
      <alignment vertical="top"/>
    </xf>
    <xf numFmtId="49" fontId="33" fillId="0" borderId="11" xfId="0" applyNumberFormat="1" applyFont="1" applyBorder="1"/>
    <xf numFmtId="38" fontId="31" fillId="0" borderId="10" xfId="0" applyNumberFormat="1" applyFont="1" applyBorder="1" applyAlignment="1">
      <alignment horizontal="left"/>
    </xf>
    <xf numFmtId="38" fontId="31" fillId="6" borderId="11" xfId="0" applyNumberFormat="1" applyFont="1" applyFill="1" applyBorder="1" applyAlignment="1">
      <alignment horizontal="left"/>
    </xf>
    <xf numFmtId="38" fontId="31" fillId="0" borderId="11" xfId="0" applyNumberFormat="1" applyFont="1" applyFill="1" applyBorder="1" applyAlignment="1">
      <alignment horizontal="right"/>
    </xf>
    <xf numFmtId="38" fontId="31" fillId="0" borderId="10" xfId="0" applyNumberFormat="1" applyFont="1" applyFill="1" applyBorder="1"/>
    <xf numFmtId="38" fontId="33" fillId="0" borderId="10" xfId="0" applyNumberFormat="1" applyFont="1" applyFill="1" applyBorder="1"/>
    <xf numFmtId="0" fontId="33" fillId="3" borderId="10" xfId="0" applyFont="1" applyFill="1" applyBorder="1" applyAlignment="1"/>
    <xf numFmtId="38" fontId="31" fillId="3" borderId="12" xfId="0" applyNumberFormat="1" applyFont="1" applyFill="1" applyBorder="1" applyAlignment="1">
      <alignment horizontal="left" wrapText="1"/>
    </xf>
    <xf numFmtId="38" fontId="34" fillId="3" borderId="11" xfId="0" applyNumberFormat="1" applyFont="1" applyFill="1" applyBorder="1"/>
    <xf numFmtId="0" fontId="33" fillId="0" borderId="10" xfId="0" applyFont="1" applyFill="1" applyBorder="1" applyAlignment="1"/>
    <xf numFmtId="38" fontId="31" fillId="0" borderId="11" xfId="0" applyNumberFormat="1" applyFont="1" applyFill="1" applyBorder="1" applyAlignment="1">
      <alignment horizontal="left" wrapText="1"/>
    </xf>
    <xf numFmtId="38" fontId="31" fillId="0" borderId="12" xfId="0" applyNumberFormat="1" applyFont="1" applyFill="1" applyBorder="1" applyAlignment="1">
      <alignment horizontal="left" wrapText="1"/>
    </xf>
    <xf numFmtId="38" fontId="31" fillId="6" borderId="12" xfId="0" applyNumberFormat="1" applyFont="1" applyFill="1" applyBorder="1" applyAlignment="1">
      <alignment horizontal="left" wrapText="1"/>
    </xf>
    <xf numFmtId="38" fontId="34" fillId="0" borderId="11" xfId="0" applyNumberFormat="1" applyFont="1" applyFill="1" applyBorder="1"/>
    <xf numFmtId="38" fontId="34" fillId="0" borderId="0" xfId="0" applyNumberFormat="1" applyFont="1" applyFill="1" applyBorder="1"/>
    <xf numFmtId="38" fontId="34" fillId="0" borderId="10" xfId="0" applyNumberFormat="1" applyFont="1" applyFill="1" applyBorder="1"/>
    <xf numFmtId="0" fontId="31" fillId="0" borderId="0" xfId="0" applyFont="1" applyFill="1" applyBorder="1"/>
    <xf numFmtId="0" fontId="31" fillId="0" borderId="0" xfId="0" applyFont="1" applyFill="1"/>
    <xf numFmtId="38" fontId="33" fillId="0" borderId="11" xfId="0" applyNumberFormat="1" applyFont="1" applyFill="1" applyBorder="1"/>
    <xf numFmtId="0" fontId="35" fillId="0" borderId="11" xfId="0" applyFont="1" applyFill="1" applyBorder="1"/>
    <xf numFmtId="38" fontId="31" fillId="0" borderId="10" xfId="0" applyNumberFormat="1" applyFont="1" applyFill="1" applyBorder="1" applyAlignment="1">
      <alignment horizontal="left" wrapText="1"/>
    </xf>
    <xf numFmtId="49" fontId="35" fillId="0" borderId="11" xfId="0" applyNumberFormat="1" applyFont="1" applyFill="1" applyBorder="1"/>
    <xf numFmtId="0" fontId="37" fillId="0" borderId="11" xfId="0" applyFont="1" applyFill="1" applyBorder="1"/>
    <xf numFmtId="38" fontId="31" fillId="0" borderId="0" xfId="0" applyNumberFormat="1" applyFont="1" applyFill="1" applyBorder="1" applyAlignment="1">
      <alignment horizontal="left" wrapText="1"/>
    </xf>
    <xf numFmtId="49" fontId="33" fillId="0" borderId="11" xfId="0" applyNumberFormat="1" applyFont="1" applyFill="1" applyBorder="1"/>
    <xf numFmtId="0" fontId="31" fillId="0" borderId="0" xfId="0" applyFont="1" applyFill="1" applyBorder="1" applyAlignment="1">
      <alignment wrapText="1"/>
    </xf>
    <xf numFmtId="0" fontId="31" fillId="0" borderId="11" xfId="0" applyFont="1" applyFill="1" applyBorder="1" applyAlignment="1">
      <alignment wrapText="1"/>
    </xf>
    <xf numFmtId="0" fontId="31" fillId="6" borderId="11" xfId="0" applyFont="1" applyFill="1" applyBorder="1" applyAlignment="1">
      <alignment wrapText="1"/>
    </xf>
    <xf numFmtId="0" fontId="33" fillId="0" borderId="11" xfId="0" applyFont="1" applyFill="1" applyBorder="1"/>
    <xf numFmtId="38" fontId="33" fillId="0" borderId="11" xfId="0" applyNumberFormat="1" applyFont="1" applyFill="1" applyBorder="1" applyAlignment="1">
      <alignment vertical="top"/>
    </xf>
    <xf numFmtId="0" fontId="35" fillId="0" borderId="11" xfId="0" applyFont="1" applyFill="1" applyBorder="1" applyAlignment="1">
      <alignment vertical="top" wrapText="1"/>
    </xf>
    <xf numFmtId="38" fontId="33" fillId="0" borderId="10" xfId="0" applyNumberFormat="1" applyFont="1" applyBorder="1"/>
    <xf numFmtId="0" fontId="33" fillId="3" borderId="10" xfId="0" applyFont="1" applyFill="1" applyBorder="1"/>
    <xf numFmtId="38" fontId="34" fillId="3" borderId="10" xfId="0" applyNumberFormat="1" applyFont="1" applyFill="1" applyBorder="1"/>
    <xf numFmtId="0" fontId="33" fillId="0" borderId="10" xfId="0" applyFont="1" applyFill="1" applyBorder="1"/>
    <xf numFmtId="0" fontId="35" fillId="0" borderId="11" xfId="0" applyFont="1" applyBorder="1" applyAlignment="1">
      <alignment vertical="top"/>
    </xf>
    <xf numFmtId="38" fontId="31" fillId="3" borderId="10" xfId="0" applyNumberFormat="1" applyFont="1" applyFill="1" applyBorder="1" applyAlignment="1">
      <alignment wrapText="1"/>
    </xf>
    <xf numFmtId="38" fontId="31" fillId="3" borderId="11" xfId="0" applyNumberFormat="1" applyFont="1" applyFill="1" applyBorder="1" applyAlignment="1">
      <alignment wrapText="1"/>
    </xf>
    <xf numFmtId="38" fontId="31" fillId="0" borderId="10" xfId="0" applyNumberFormat="1" applyFont="1" applyFill="1" applyBorder="1" applyAlignment="1">
      <alignment wrapText="1"/>
    </xf>
    <xf numFmtId="38" fontId="31" fillId="0" borderId="11" xfId="0" applyNumberFormat="1" applyFont="1" applyFill="1" applyBorder="1" applyAlignment="1">
      <alignment wrapText="1"/>
    </xf>
    <xf numFmtId="38" fontId="33" fillId="0" borderId="11" xfId="0" applyNumberFormat="1" applyFont="1" applyBorder="1" applyAlignment="1">
      <alignment horizontal="center"/>
    </xf>
    <xf numFmtId="0" fontId="35" fillId="0" borderId="11" xfId="0" applyFont="1" applyBorder="1" applyAlignment="1">
      <alignment vertical="top" wrapText="1"/>
    </xf>
    <xf numFmtId="38" fontId="31" fillId="0" borderId="0" xfId="0" applyNumberFormat="1" applyFont="1" applyFill="1" applyBorder="1"/>
    <xf numFmtId="0" fontId="37" fillId="0" borderId="11" xfId="0" applyFont="1" applyBorder="1" applyAlignment="1">
      <alignment wrapText="1"/>
    </xf>
    <xf numFmtId="38" fontId="33" fillId="0" borderId="16" xfId="0" applyNumberFormat="1" applyFont="1" applyFill="1" applyBorder="1" applyAlignment="1">
      <alignment vertical="center"/>
    </xf>
    <xf numFmtId="0" fontId="32" fillId="4" borderId="18" xfId="0" applyFont="1" applyFill="1" applyBorder="1" applyAlignment="1">
      <alignment vertical="center"/>
    </xf>
    <xf numFmtId="38" fontId="31" fillId="4" borderId="2" xfId="0" applyNumberFormat="1" applyFont="1" applyFill="1" applyBorder="1" applyAlignment="1">
      <alignment vertical="center" wrapText="1"/>
    </xf>
    <xf numFmtId="38" fontId="31" fillId="4" borderId="18" xfId="0" applyNumberFormat="1" applyFont="1" applyFill="1" applyBorder="1" applyAlignment="1">
      <alignment vertical="center" wrapText="1"/>
    </xf>
    <xf numFmtId="38" fontId="34" fillId="4" borderId="18" xfId="0" applyNumberFormat="1" applyFont="1" applyFill="1" applyBorder="1" applyAlignment="1">
      <alignment vertical="center"/>
    </xf>
    <xf numFmtId="38" fontId="31" fillId="0" borderId="0" xfId="0" applyNumberFormat="1" applyFont="1"/>
    <xf numFmtId="0" fontId="3" fillId="0" borderId="6" xfId="1" applyFont="1" applyBorder="1" applyAlignment="1">
      <alignment horizontal="left"/>
    </xf>
    <xf numFmtId="3" fontId="8" fillId="0" borderId="6" xfId="0" applyNumberFormat="1" applyFont="1" applyBorder="1" applyAlignment="1" applyProtection="1">
      <alignment wrapText="1"/>
      <protection hidden="1"/>
    </xf>
    <xf numFmtId="3" fontId="8" fillId="0" borderId="10" xfId="0" applyNumberFormat="1" applyFont="1" applyBorder="1" applyAlignment="1" applyProtection="1">
      <alignment wrapText="1"/>
      <protection hidden="1"/>
    </xf>
    <xf numFmtId="0" fontId="38" fillId="0" borderId="0" xfId="0" applyFont="1" applyAlignment="1">
      <alignment vertical="center" wrapText="1"/>
    </xf>
    <xf numFmtId="0" fontId="7" fillId="0" borderId="0" xfId="1" applyFont="1"/>
    <xf numFmtId="0" fontId="33" fillId="4" borderId="8" xfId="0" applyFont="1" applyFill="1" applyBorder="1" applyAlignment="1">
      <alignment horizontal="center" vertical="center" wrapText="1"/>
    </xf>
    <xf numFmtId="3" fontId="3" fillId="0" borderId="6" xfId="0" applyNumberFormat="1" applyFont="1" applyBorder="1" applyAlignment="1" applyProtection="1">
      <alignment horizontal="center" wrapText="1"/>
      <protection hidden="1"/>
    </xf>
    <xf numFmtId="3" fontId="3" fillId="0" borderId="9" xfId="0" applyNumberFormat="1" applyFont="1" applyBorder="1" applyAlignment="1" applyProtection="1">
      <alignment horizontal="center" wrapText="1"/>
      <protection hidden="1"/>
    </xf>
    <xf numFmtId="3" fontId="4" fillId="0" borderId="9" xfId="0" applyNumberFormat="1" applyFont="1" applyBorder="1" applyAlignment="1" applyProtection="1">
      <alignment horizontal="left" wrapText="1"/>
      <protection hidden="1"/>
    </xf>
    <xf numFmtId="0" fontId="3" fillId="0" borderId="8" xfId="0" applyFont="1" applyBorder="1" applyAlignment="1">
      <alignment horizontal="center" vertical="center"/>
    </xf>
    <xf numFmtId="0" fontId="3" fillId="4" borderId="6" xfId="1" applyFont="1" applyFill="1" applyBorder="1" applyAlignment="1">
      <alignment horizontal="left" wrapText="1"/>
    </xf>
    <xf numFmtId="0" fontId="0" fillId="0" borderId="11" xfId="0" applyBorder="1" applyAlignment="1">
      <alignment horizontal="center" vertical="center"/>
    </xf>
    <xf numFmtId="0" fontId="3" fillId="4" borderId="16" xfId="0" applyFont="1" applyFill="1" applyBorder="1" applyAlignment="1">
      <alignment horizontal="left" vertical="top" wrapText="1"/>
    </xf>
    <xf numFmtId="1" fontId="3" fillId="2" borderId="16" xfId="0" applyNumberFormat="1" applyFont="1" applyFill="1" applyBorder="1" applyAlignment="1" applyProtection="1">
      <alignment horizontal="center" vertical="center" wrapText="1"/>
      <protection hidden="1"/>
    </xf>
    <xf numFmtId="1" fontId="3" fillId="2" borderId="16" xfId="0" applyNumberFormat="1" applyFont="1" applyFill="1" applyBorder="1" applyAlignment="1" applyProtection="1">
      <alignment horizontal="center" vertical="center"/>
      <protection hidden="1"/>
    </xf>
    <xf numFmtId="1" fontId="3" fillId="2" borderId="1" xfId="0" applyNumberFormat="1" applyFont="1" applyFill="1" applyBorder="1" applyAlignment="1" applyProtection="1">
      <alignment horizontal="center" vertical="center"/>
      <protection hidden="1"/>
    </xf>
    <xf numFmtId="0" fontId="25" fillId="0" borderId="11" xfId="0" applyFont="1" applyBorder="1" applyAlignment="1">
      <alignment horizontal="center" vertical="center"/>
    </xf>
    <xf numFmtId="0" fontId="3" fillId="0" borderId="10" xfId="0" applyFont="1" applyBorder="1"/>
    <xf numFmtId="0" fontId="3" fillId="0" borderId="11" xfId="0" applyFont="1" applyBorder="1"/>
    <xf numFmtId="0" fontId="25" fillId="0" borderId="0" xfId="0" applyFont="1"/>
    <xf numFmtId="0" fontId="3" fillId="0" borderId="10" xfId="0" applyFont="1" applyFill="1" applyBorder="1"/>
    <xf numFmtId="0" fontId="3" fillId="0" borderId="11" xfId="0" applyFont="1" applyFill="1" applyBorder="1"/>
    <xf numFmtId="0" fontId="40" fillId="0" borderId="10" xfId="1" applyFont="1" applyBorder="1"/>
    <xf numFmtId="0" fontId="7" fillId="3" borderId="2" xfId="0" applyFont="1" applyFill="1" applyBorder="1"/>
    <xf numFmtId="0" fontId="25" fillId="0" borderId="16" xfId="0" applyFont="1" applyBorder="1" applyAlignment="1">
      <alignment horizontal="center" vertical="center"/>
    </xf>
    <xf numFmtId="0" fontId="3" fillId="0" borderId="6" xfId="0" applyFont="1" applyFill="1" applyBorder="1"/>
    <xf numFmtId="0" fontId="3" fillId="0" borderId="8" xfId="0" applyFont="1" applyFill="1" applyBorder="1"/>
    <xf numFmtId="0" fontId="3" fillId="0" borderId="9" xfId="0" applyFont="1" applyFill="1" applyBorder="1"/>
    <xf numFmtId="0" fontId="3" fillId="0" borderId="6" xfId="0" applyFont="1" applyBorder="1"/>
    <xf numFmtId="0" fontId="3" fillId="0" borderId="8" xfId="0" applyFont="1" applyBorder="1"/>
    <xf numFmtId="0" fontId="3" fillId="0" borderId="7" xfId="0" applyFont="1" applyBorder="1"/>
    <xf numFmtId="0" fontId="3" fillId="0" borderId="0" xfId="0" applyFont="1" applyFill="1" applyBorder="1"/>
    <xf numFmtId="0" fontId="3" fillId="0" borderId="12" xfId="0" applyFont="1" applyBorder="1"/>
    <xf numFmtId="0" fontId="3" fillId="0" borderId="5" xfId="0" applyFont="1" applyFill="1" applyBorder="1"/>
    <xf numFmtId="3" fontId="3" fillId="0" borderId="16" xfId="0" applyNumberFormat="1" applyFont="1" applyFill="1" applyBorder="1"/>
    <xf numFmtId="3" fontId="3" fillId="0" borderId="1" xfId="0" applyNumberFormat="1" applyFont="1" applyFill="1" applyBorder="1"/>
    <xf numFmtId="0" fontId="3" fillId="0" borderId="0" xfId="0" applyFont="1" applyBorder="1"/>
    <xf numFmtId="0" fontId="7" fillId="0" borderId="0" xfId="0" applyFont="1" applyFill="1" applyBorder="1"/>
    <xf numFmtId="0" fontId="3" fillId="4" borderId="11" xfId="0" applyFont="1" applyFill="1" applyBorder="1" applyAlignment="1">
      <alignment horizontal="left" vertical="top" wrapText="1"/>
    </xf>
    <xf numFmtId="0" fontId="3" fillId="0" borderId="8" xfId="1" applyFont="1" applyBorder="1"/>
    <xf numFmtId="0" fontId="3" fillId="8" borderId="11" xfId="0" applyFont="1" applyFill="1" applyBorder="1"/>
    <xf numFmtId="0" fontId="0" fillId="0" borderId="11" xfId="0" applyFont="1" applyFill="1" applyBorder="1"/>
    <xf numFmtId="0" fontId="3" fillId="0" borderId="16" xfId="0" applyFont="1" applyFill="1" applyBorder="1"/>
    <xf numFmtId="0" fontId="7" fillId="4" borderId="8" xfId="0" applyFont="1" applyFill="1" applyBorder="1" applyAlignment="1"/>
    <xf numFmtId="0" fontId="3" fillId="4" borderId="8" xfId="0" applyFont="1" applyFill="1" applyBorder="1" applyAlignment="1">
      <alignment horizontal="center"/>
    </xf>
    <xf numFmtId="0" fontId="7" fillId="4" borderId="11" xfId="0" applyFont="1" applyFill="1" applyBorder="1" applyAlignment="1"/>
    <xf numFmtId="0" fontId="40" fillId="4" borderId="11" xfId="1" applyFont="1" applyFill="1" applyBorder="1" applyAlignment="1">
      <alignment horizontal="center"/>
    </xf>
    <xf numFmtId="0" fontId="0" fillId="0" borderId="8" xfId="0" applyBorder="1" applyAlignment="1"/>
    <xf numFmtId="0" fontId="0" fillId="0" borderId="8" xfId="0" applyFill="1" applyBorder="1" applyAlignment="1">
      <alignment horizontal="center"/>
    </xf>
    <xf numFmtId="3" fontId="0" fillId="0" borderId="11" xfId="0" applyNumberFormat="1" applyFill="1" applyBorder="1"/>
    <xf numFmtId="0" fontId="0" fillId="0" borderId="11" xfId="0" applyBorder="1"/>
    <xf numFmtId="0" fontId="0" fillId="0" borderId="11" xfId="0" applyFill="1" applyBorder="1"/>
    <xf numFmtId="0" fontId="7" fillId="8" borderId="16" xfId="0" applyFont="1" applyFill="1" applyBorder="1"/>
    <xf numFmtId="0" fontId="0" fillId="8" borderId="16" xfId="0" applyFill="1" applyBorder="1"/>
    <xf numFmtId="0" fontId="3" fillId="0" borderId="0" xfId="2"/>
    <xf numFmtId="3" fontId="3" fillId="0" borderId="17" xfId="0" applyNumberFormat="1" applyFont="1" applyBorder="1" applyAlignment="1" applyProtection="1">
      <alignment horizontal="center" wrapText="1"/>
      <protection hidden="1"/>
    </xf>
    <xf numFmtId="3" fontId="4" fillId="0" borderId="1" xfId="0" applyNumberFormat="1" applyFont="1" applyBorder="1" applyAlignment="1" applyProtection="1">
      <alignment horizontal="left" wrapText="1"/>
      <protection hidden="1"/>
    </xf>
    <xf numFmtId="0" fontId="3" fillId="0" borderId="8" xfId="2" applyBorder="1" applyAlignment="1">
      <alignment horizontal="center" vertical="center"/>
    </xf>
    <xf numFmtId="0" fontId="7" fillId="4" borderId="8" xfId="2" applyFont="1" applyFill="1" applyBorder="1" applyAlignment="1">
      <alignment vertical="center"/>
    </xf>
    <xf numFmtId="0" fontId="3" fillId="0" borderId="16" xfId="2" applyBorder="1" applyAlignment="1">
      <alignment horizontal="center" vertical="center"/>
    </xf>
    <xf numFmtId="0" fontId="7" fillId="4" borderId="16" xfId="2" applyFont="1" applyFill="1" applyBorder="1" applyAlignment="1">
      <alignment vertical="center"/>
    </xf>
    <xf numFmtId="0" fontId="3" fillId="0" borderId="11" xfId="2" applyBorder="1" applyAlignment="1">
      <alignment horizontal="center" vertical="center"/>
    </xf>
    <xf numFmtId="0" fontId="3" fillId="0" borderId="11" xfId="2" applyFont="1" applyBorder="1" applyAlignment="1">
      <alignment vertical="center"/>
    </xf>
    <xf numFmtId="0" fontId="3" fillId="0" borderId="16" xfId="2" applyFont="1" applyBorder="1" applyAlignment="1">
      <alignment vertical="center"/>
    </xf>
    <xf numFmtId="0" fontId="3" fillId="8" borderId="16" xfId="2" applyFont="1" applyFill="1" applyBorder="1" applyAlignment="1">
      <alignment vertical="center"/>
    </xf>
    <xf numFmtId="0" fontId="3" fillId="8" borderId="18" xfId="2" applyFont="1" applyFill="1" applyBorder="1" applyAlignment="1">
      <alignment vertical="center"/>
    </xf>
    <xf numFmtId="0" fontId="7" fillId="0" borderId="11" xfId="2" applyFont="1" applyFill="1" applyBorder="1" applyAlignment="1">
      <alignment vertical="center"/>
    </xf>
    <xf numFmtId="0" fontId="3" fillId="7" borderId="11" xfId="2" applyFont="1" applyFill="1" applyBorder="1" applyAlignment="1">
      <alignment vertical="center"/>
    </xf>
    <xf numFmtId="0" fontId="3" fillId="0" borderId="11" xfId="2" applyFont="1" applyFill="1" applyBorder="1" applyAlignment="1">
      <alignment horizontal="left" vertical="center" wrapText="1" indent="5"/>
    </xf>
    <xf numFmtId="2" fontId="3" fillId="0" borderId="11" xfId="2" applyNumberFormat="1" applyFont="1" applyFill="1" applyBorder="1" applyAlignment="1">
      <alignment vertical="center"/>
    </xf>
    <xf numFmtId="2" fontId="3" fillId="0" borderId="11" xfId="2" applyNumberFormat="1" applyFont="1" applyFill="1" applyBorder="1" applyAlignment="1">
      <alignment horizontal="right" vertical="center"/>
    </xf>
    <xf numFmtId="0" fontId="3" fillId="0" borderId="11" xfId="2" applyFont="1" applyFill="1" applyBorder="1" applyAlignment="1">
      <alignment horizontal="left" vertical="center" indent="5"/>
    </xf>
    <xf numFmtId="0" fontId="3" fillId="0" borderId="11" xfId="2" applyFont="1" applyBorder="1" applyAlignment="1">
      <alignment horizontal="left" vertical="center" indent="2"/>
    </xf>
    <xf numFmtId="2" fontId="3" fillId="0" borderId="11" xfId="2" applyNumberFormat="1" applyFont="1" applyBorder="1" applyAlignment="1">
      <alignment vertical="center"/>
    </xf>
    <xf numFmtId="0" fontId="7" fillId="4" borderId="28" xfId="2" applyFont="1" applyFill="1" applyBorder="1" applyAlignment="1">
      <alignment vertical="center"/>
    </xf>
    <xf numFmtId="0" fontId="3" fillId="4" borderId="28" xfId="2" applyFont="1" applyFill="1" applyBorder="1" applyAlignment="1">
      <alignment horizontal="center" vertical="center"/>
    </xf>
    <xf numFmtId="3" fontId="3" fillId="4" borderId="28" xfId="2" applyNumberFormat="1" applyFont="1" applyFill="1" applyBorder="1" applyAlignment="1">
      <alignment horizontal="center" vertical="center"/>
    </xf>
    <xf numFmtId="0" fontId="3" fillId="0" borderId="18" xfId="2" applyFont="1" applyBorder="1" applyAlignment="1">
      <alignment vertical="center"/>
    </xf>
    <xf numFmtId="0" fontId="3" fillId="0" borderId="18" xfId="2" applyFont="1" applyFill="1" applyBorder="1" applyAlignment="1">
      <alignment horizontal="center" vertical="center"/>
    </xf>
    <xf numFmtId="3" fontId="3" fillId="0" borderId="18" xfId="2" applyNumberFormat="1" applyFont="1" applyFill="1" applyBorder="1" applyAlignment="1">
      <alignment horizontal="center" vertical="center"/>
    </xf>
    <xf numFmtId="0" fontId="3" fillId="0" borderId="0" xfId="2" applyFont="1" applyBorder="1" applyAlignment="1">
      <alignment vertical="center"/>
    </xf>
    <xf numFmtId="3" fontId="11" fillId="0" borderId="0" xfId="2" applyNumberFormat="1" applyFont="1" applyProtection="1">
      <protection hidden="1"/>
    </xf>
    <xf numFmtId="0" fontId="3" fillId="0" borderId="0" xfId="3"/>
    <xf numFmtId="0" fontId="7" fillId="0" borderId="0" xfId="3" applyFont="1" applyAlignment="1">
      <alignment horizontal="right"/>
    </xf>
    <xf numFmtId="0" fontId="3" fillId="0" borderId="0" xfId="3" applyFont="1" applyBorder="1"/>
    <xf numFmtId="0" fontId="3" fillId="0" borderId="0" xfId="3" applyFont="1" applyBorder="1" applyAlignment="1">
      <alignment horizontal="right"/>
    </xf>
    <xf numFmtId="14" fontId="3" fillId="0" borderId="0" xfId="3" applyNumberFormat="1" applyFont="1" applyBorder="1"/>
    <xf numFmtId="0" fontId="3" fillId="0" borderId="2" xfId="3" applyBorder="1"/>
    <xf numFmtId="0" fontId="2" fillId="0" borderId="3" xfId="3" applyFont="1" applyBorder="1" applyAlignment="1">
      <alignment horizontal="left"/>
    </xf>
    <xf numFmtId="0" fontId="3" fillId="0" borderId="3" xfId="3" applyBorder="1"/>
    <xf numFmtId="0" fontId="2" fillId="0" borderId="3" xfId="3" applyFont="1" applyBorder="1" applyAlignment="1">
      <alignment horizontal="center"/>
    </xf>
    <xf numFmtId="0" fontId="2" fillId="0" borderId="9" xfId="3" applyFont="1" applyBorder="1" applyAlignment="1">
      <alignment horizontal="center"/>
    </xf>
    <xf numFmtId="0" fontId="3" fillId="0" borderId="11" xfId="3" applyBorder="1"/>
    <xf numFmtId="0" fontId="3" fillId="0" borderId="5" xfId="3" applyBorder="1" applyAlignment="1"/>
    <xf numFmtId="0" fontId="3" fillId="0" borderId="0" xfId="3" applyBorder="1" applyAlignment="1"/>
    <xf numFmtId="0" fontId="3" fillId="0" borderId="16" xfId="3" applyBorder="1" applyAlignment="1">
      <alignment horizontal="center" wrapText="1"/>
    </xf>
    <xf numFmtId="0" fontId="7" fillId="4" borderId="18" xfId="4" applyFont="1" applyFill="1" applyBorder="1" applyAlignment="1">
      <alignment vertical="center"/>
    </xf>
    <xf numFmtId="0" fontId="3" fillId="4" borderId="18" xfId="4" applyFont="1" applyFill="1" applyBorder="1" applyAlignment="1">
      <alignment horizontal="center"/>
    </xf>
    <xf numFmtId="0" fontId="3" fillId="4" borderId="18" xfId="4" applyFont="1" applyFill="1" applyBorder="1" applyAlignment="1">
      <alignment horizontal="center" wrapText="1"/>
    </xf>
    <xf numFmtId="0" fontId="3" fillId="4" borderId="16" xfId="4" applyFont="1" applyFill="1" applyBorder="1" applyAlignment="1">
      <alignment horizontal="center"/>
    </xf>
    <xf numFmtId="0" fontId="3" fillId="0" borderId="11" xfId="3" applyBorder="1" applyAlignment="1">
      <alignment horizontal="center"/>
    </xf>
    <xf numFmtId="0" fontId="3" fillId="0" borderId="11" xfId="3" applyFont="1" applyBorder="1" applyAlignment="1">
      <alignment vertical="center"/>
    </xf>
    <xf numFmtId="2" fontId="3" fillId="0" borderId="11" xfId="3" applyNumberFormat="1" applyFont="1" applyBorder="1" applyAlignment="1">
      <alignment vertical="center"/>
    </xf>
    <xf numFmtId="0" fontId="3" fillId="0" borderId="16" xfId="3" applyFont="1" applyBorder="1" applyAlignment="1">
      <alignment vertical="center"/>
    </xf>
    <xf numFmtId="0" fontId="3" fillId="0" borderId="11" xfId="3" applyBorder="1" applyAlignment="1">
      <alignment horizontal="center" vertical="center"/>
    </xf>
    <xf numFmtId="0" fontId="3" fillId="4" borderId="16" xfId="4" applyFont="1" applyFill="1" applyBorder="1" applyAlignment="1">
      <alignment vertical="center" wrapText="1"/>
    </xf>
    <xf numFmtId="2" fontId="3" fillId="4" borderId="18" xfId="3" applyNumberFormat="1" applyFont="1" applyFill="1" applyBorder="1" applyAlignment="1">
      <alignment vertical="center"/>
    </xf>
    <xf numFmtId="0" fontId="3" fillId="0" borderId="16" xfId="3" applyBorder="1" applyAlignment="1">
      <alignment horizontal="center"/>
    </xf>
    <xf numFmtId="0" fontId="3" fillId="0" borderId="18" xfId="3" applyFont="1" applyBorder="1" applyAlignment="1">
      <alignment vertical="center"/>
    </xf>
    <xf numFmtId="2" fontId="3" fillId="0" borderId="18" xfId="3" applyNumberFormat="1" applyFont="1" applyBorder="1" applyAlignment="1">
      <alignment vertical="center"/>
    </xf>
    <xf numFmtId="0" fontId="3" fillId="0" borderId="8" xfId="3" applyBorder="1"/>
    <xf numFmtId="0" fontId="7" fillId="4" borderId="18" xfId="2" applyFont="1" applyFill="1" applyBorder="1" applyAlignment="1">
      <alignment vertical="center"/>
    </xf>
    <xf numFmtId="0" fontId="3" fillId="4" borderId="16" xfId="2" applyFont="1" applyFill="1" applyBorder="1" applyAlignment="1">
      <alignment vertical="center" wrapText="1"/>
    </xf>
    <xf numFmtId="0" fontId="3" fillId="0" borderId="16" xfId="3" applyBorder="1" applyAlignment="1">
      <alignment horizontal="center" vertical="center"/>
    </xf>
    <xf numFmtId="0" fontId="4" fillId="4" borderId="18" xfId="4" applyFont="1" applyFill="1" applyBorder="1" applyAlignment="1">
      <alignment vertical="center" wrapText="1"/>
    </xf>
    <xf numFmtId="2" fontId="7" fillId="4" borderId="18" xfId="3" applyNumberFormat="1" applyFont="1" applyFill="1" applyBorder="1" applyAlignment="1">
      <alignment vertical="center"/>
    </xf>
    <xf numFmtId="0" fontId="3" fillId="0" borderId="0" xfId="3" applyBorder="1" applyAlignment="1">
      <alignment horizontal="center"/>
    </xf>
    <xf numFmtId="0" fontId="3" fillId="0" borderId="0" xfId="3" applyFont="1" applyBorder="1" applyAlignment="1">
      <alignment vertical="center"/>
    </xf>
    <xf numFmtId="2" fontId="3" fillId="0" borderId="0" xfId="3" applyNumberFormat="1" applyFont="1" applyBorder="1" applyAlignment="1">
      <alignment vertical="center"/>
    </xf>
    <xf numFmtId="0" fontId="3" fillId="0" borderId="0" xfId="5" applyBorder="1" applyAlignment="1">
      <alignment horizontal="center"/>
    </xf>
    <xf numFmtId="0" fontId="3" fillId="0" borderId="0" xfId="5" applyFont="1" applyBorder="1" applyAlignment="1">
      <alignment vertical="center"/>
    </xf>
    <xf numFmtId="2" fontId="3" fillId="0" borderId="0" xfId="5" applyNumberFormat="1" applyFont="1" applyBorder="1" applyAlignment="1">
      <alignment vertical="center"/>
    </xf>
    <xf numFmtId="0" fontId="3" fillId="0" borderId="2" xfId="5" applyBorder="1"/>
    <xf numFmtId="0" fontId="3" fillId="0" borderId="8" xfId="5" applyBorder="1"/>
    <xf numFmtId="0" fontId="3" fillId="0" borderId="5" xfId="5" applyBorder="1" applyAlignment="1"/>
    <xf numFmtId="0" fontId="3" fillId="0" borderId="0" xfId="5" applyBorder="1" applyAlignment="1"/>
    <xf numFmtId="0" fontId="3" fillId="0" borderId="16" xfId="5" applyBorder="1" applyAlignment="1">
      <alignment horizontal="center" wrapText="1"/>
    </xf>
    <xf numFmtId="0" fontId="3" fillId="0" borderId="11" xfId="5" applyBorder="1" applyAlignment="1">
      <alignment horizontal="center"/>
    </xf>
    <xf numFmtId="0" fontId="3" fillId="0" borderId="11" xfId="5" applyFont="1" applyBorder="1" applyAlignment="1">
      <alignment vertical="center"/>
    </xf>
    <xf numFmtId="0" fontId="3" fillId="0" borderId="16" xfId="5" applyFont="1" applyBorder="1" applyAlignment="1">
      <alignment vertical="center"/>
    </xf>
    <xf numFmtId="0" fontId="3" fillId="0" borderId="11" xfId="5" applyBorder="1" applyAlignment="1">
      <alignment horizontal="center" vertical="center"/>
    </xf>
    <xf numFmtId="2" fontId="3" fillId="4" borderId="18" xfId="5" applyNumberFormat="1" applyFont="1" applyFill="1" applyBorder="1" applyAlignment="1">
      <alignment vertical="center"/>
    </xf>
    <xf numFmtId="0" fontId="3" fillId="0" borderId="16" xfId="5" applyBorder="1" applyAlignment="1">
      <alignment horizontal="center"/>
    </xf>
    <xf numFmtId="0" fontId="3" fillId="0" borderId="18" xfId="5" applyFont="1" applyBorder="1" applyAlignment="1">
      <alignment vertical="center"/>
    </xf>
    <xf numFmtId="2" fontId="3" fillId="0" borderId="11" xfId="5" applyNumberFormat="1" applyFont="1" applyBorder="1" applyAlignment="1">
      <alignment vertical="center"/>
    </xf>
    <xf numFmtId="0" fontId="3" fillId="0" borderId="16" xfId="5" applyBorder="1" applyAlignment="1">
      <alignment horizontal="center" vertical="center"/>
    </xf>
    <xf numFmtId="0" fontId="3" fillId="0" borderId="18" xfId="5" applyBorder="1" applyAlignment="1">
      <alignment horizontal="center"/>
    </xf>
    <xf numFmtId="2" fontId="3" fillId="0" borderId="18" xfId="5" applyNumberFormat="1" applyFont="1" applyBorder="1" applyAlignment="1">
      <alignment vertical="center"/>
    </xf>
    <xf numFmtId="2" fontId="3" fillId="0" borderId="0" xfId="3" applyNumberFormat="1"/>
    <xf numFmtId="2" fontId="7" fillId="0" borderId="0" xfId="3" applyNumberFormat="1" applyFont="1"/>
    <xf numFmtId="3" fontId="3" fillId="0" borderId="11" xfId="0" applyNumberFormat="1" applyFont="1" applyBorder="1"/>
    <xf numFmtId="3" fontId="7" fillId="3" borderId="18" xfId="0" applyNumberFormat="1" applyFont="1" applyFill="1" applyBorder="1"/>
    <xf numFmtId="3" fontId="3" fillId="0" borderId="5" xfId="0" applyNumberFormat="1" applyFont="1" applyFill="1" applyBorder="1"/>
    <xf numFmtId="3" fontId="3" fillId="0" borderId="5" xfId="0" applyNumberFormat="1" applyFont="1" applyBorder="1"/>
    <xf numFmtId="3" fontId="3" fillId="0" borderId="16" xfId="0" applyNumberFormat="1" applyFont="1" applyBorder="1"/>
    <xf numFmtId="3" fontId="3" fillId="0" borderId="17" xfId="0" applyNumberFormat="1" applyFont="1" applyBorder="1"/>
    <xf numFmtId="3" fontId="3" fillId="8" borderId="11" xfId="0" applyNumberFormat="1" applyFont="1" applyFill="1" applyBorder="1"/>
    <xf numFmtId="3" fontId="3" fillId="0" borderId="11" xfId="0" applyNumberFormat="1" applyFont="1" applyFill="1" applyBorder="1"/>
    <xf numFmtId="4" fontId="3" fillId="0" borderId="10" xfId="0" applyNumberFormat="1" applyFont="1" applyBorder="1" applyAlignment="1" applyProtection="1">
      <alignment wrapText="1"/>
      <protection hidden="1"/>
    </xf>
    <xf numFmtId="4" fontId="8" fillId="0" borderId="10" xfId="0" applyNumberFormat="1" applyFont="1" applyBorder="1" applyAlignment="1" applyProtection="1">
      <alignment wrapText="1"/>
      <protection hidden="1"/>
    </xf>
    <xf numFmtId="4" fontId="3" fillId="0" borderId="11" xfId="0" applyNumberFormat="1" applyFont="1" applyBorder="1" applyAlignment="1" applyProtection="1">
      <alignment wrapText="1"/>
      <protection hidden="1"/>
    </xf>
    <xf numFmtId="3" fontId="43" fillId="0" borderId="10" xfId="0" applyNumberFormat="1" applyFont="1" applyBorder="1" applyAlignment="1" applyProtection="1">
      <alignment wrapText="1"/>
      <protection hidden="1"/>
    </xf>
    <xf numFmtId="4" fontId="43" fillId="0" borderId="10" xfId="0" applyNumberFormat="1" applyFont="1" applyBorder="1" applyAlignment="1" applyProtection="1">
      <alignment wrapText="1"/>
      <protection hidden="1"/>
    </xf>
    <xf numFmtId="4" fontId="43" fillId="0" borderId="11" xfId="0" applyNumberFormat="1" applyFont="1" applyBorder="1" applyAlignment="1" applyProtection="1">
      <alignment wrapText="1"/>
      <protection hidden="1"/>
    </xf>
    <xf numFmtId="3" fontId="43" fillId="0" borderId="11" xfId="0" applyNumberFormat="1" applyFont="1" applyBorder="1" applyAlignment="1" applyProtection="1">
      <alignment wrapText="1"/>
      <protection hidden="1"/>
    </xf>
    <xf numFmtId="0" fontId="8" fillId="0" borderId="0" xfId="2" applyFont="1" applyAlignment="1">
      <alignment vertical="top" wrapText="1"/>
    </xf>
    <xf numFmtId="0" fontId="3" fillId="0" borderId="0" xfId="2" applyAlignment="1">
      <alignment horizontal="center"/>
    </xf>
    <xf numFmtId="3" fontId="3" fillId="0" borderId="0" xfId="2" applyNumberFormat="1"/>
    <xf numFmtId="3" fontId="31" fillId="0" borderId="18" xfId="2" applyNumberFormat="1" applyFont="1" applyBorder="1"/>
    <xf numFmtId="3" fontId="31" fillId="0" borderId="3" xfId="2" applyNumberFormat="1" applyFont="1" applyBorder="1"/>
    <xf numFmtId="3" fontId="7" fillId="0" borderId="2" xfId="2" applyNumberFormat="1" applyFont="1" applyBorder="1"/>
    <xf numFmtId="3" fontId="3" fillId="0" borderId="18" xfId="2" applyNumberFormat="1" applyBorder="1" applyAlignment="1">
      <alignment horizontal="center" vertical="center"/>
    </xf>
    <xf numFmtId="3" fontId="3" fillId="0" borderId="0" xfId="2" applyNumberFormat="1" applyAlignment="1">
      <alignment horizontal="center" vertical="center"/>
    </xf>
    <xf numFmtId="3" fontId="7" fillId="9" borderId="18" xfId="2" applyNumberFormat="1" applyFont="1" applyFill="1" applyBorder="1"/>
    <xf numFmtId="3" fontId="3" fillId="0" borderId="16" xfId="2" applyNumberFormat="1" applyBorder="1" applyAlignment="1">
      <alignment horizontal="center" vertical="center"/>
    </xf>
    <xf numFmtId="3" fontId="7" fillId="0" borderId="11" xfId="2" applyNumberFormat="1" applyFont="1" applyBorder="1"/>
    <xf numFmtId="3" fontId="7" fillId="0" borderId="0" xfId="2" applyNumberFormat="1" applyFont="1" applyBorder="1"/>
    <xf numFmtId="3" fontId="3" fillId="0" borderId="11" xfId="2" applyNumberFormat="1" applyBorder="1" applyAlignment="1">
      <alignment horizontal="center" vertical="center"/>
    </xf>
    <xf numFmtId="3" fontId="3" fillId="0" borderId="0" xfId="2" applyNumberFormat="1" applyFont="1"/>
    <xf numFmtId="3" fontId="3" fillId="0" borderId="11" xfId="2" applyNumberFormat="1" applyFont="1" applyBorder="1"/>
    <xf numFmtId="3" fontId="3" fillId="0" borderId="0" xfId="2" applyNumberFormat="1" applyFont="1" applyBorder="1"/>
    <xf numFmtId="3" fontId="3" fillId="0" borderId="11" xfId="2" applyNumberFormat="1" applyFont="1" applyBorder="1" applyAlignment="1">
      <alignment horizontal="center" vertical="center"/>
    </xf>
    <xf numFmtId="3" fontId="45" fillId="0" borderId="11" xfId="2" applyNumberFormat="1" applyFont="1" applyBorder="1"/>
    <xf numFmtId="3" fontId="45" fillId="0" borderId="0" xfId="2" applyNumberFormat="1" applyFont="1" applyBorder="1"/>
    <xf numFmtId="3" fontId="3" fillId="0" borderId="11" xfId="2" applyNumberFormat="1" applyBorder="1"/>
    <xf numFmtId="3" fontId="3" fillId="0" borderId="0" xfId="2" applyNumberFormat="1" applyBorder="1"/>
    <xf numFmtId="3" fontId="11" fillId="0" borderId="11" xfId="2" applyNumberFormat="1" applyFont="1" applyBorder="1"/>
    <xf numFmtId="3" fontId="7" fillId="3" borderId="11" xfId="2" applyNumberFormat="1" applyFont="1" applyFill="1" applyBorder="1"/>
    <xf numFmtId="3" fontId="3" fillId="0" borderId="12" xfId="2" applyNumberFormat="1" applyBorder="1"/>
    <xf numFmtId="3" fontId="7" fillId="3" borderId="12" xfId="2" applyNumberFormat="1" applyFont="1" applyFill="1" applyBorder="1"/>
    <xf numFmtId="0" fontId="3" fillId="0" borderId="11" xfId="2" applyBorder="1"/>
    <xf numFmtId="0" fontId="3" fillId="0" borderId="11" xfId="2" applyFont="1" applyBorder="1"/>
    <xf numFmtId="0" fontId="3" fillId="0" borderId="11" xfId="2" applyFont="1" applyBorder="1" applyAlignment="1">
      <alignment horizontal="center" vertical="center"/>
    </xf>
    <xf numFmtId="0" fontId="3" fillId="0" borderId="11" xfId="2" applyFill="1" applyBorder="1"/>
    <xf numFmtId="0" fontId="3" fillId="0" borderId="0" xfId="2" applyBorder="1"/>
    <xf numFmtId="0" fontId="3" fillId="0" borderId="12" xfId="2" applyBorder="1"/>
    <xf numFmtId="0" fontId="11" fillId="0" borderId="11" xfId="2" applyFont="1" applyBorder="1"/>
    <xf numFmtId="1" fontId="3" fillId="2" borderId="16" xfId="2" applyNumberFormat="1" applyFont="1" applyFill="1" applyBorder="1" applyAlignment="1" applyProtection="1">
      <alignment horizontal="center" vertical="center"/>
      <protection hidden="1"/>
    </xf>
    <xf numFmtId="1" fontId="3" fillId="2" borderId="1" xfId="2" applyNumberFormat="1" applyFont="1" applyFill="1" applyBorder="1" applyAlignment="1" applyProtection="1">
      <alignment horizontal="center" vertical="center"/>
      <protection hidden="1"/>
    </xf>
    <xf numFmtId="1" fontId="3" fillId="2" borderId="16" xfId="2" applyNumberFormat="1" applyFont="1" applyFill="1" applyBorder="1" applyAlignment="1" applyProtection="1">
      <alignment horizontal="center" vertical="center" wrapText="1"/>
      <protection hidden="1"/>
    </xf>
    <xf numFmtId="0" fontId="3" fillId="4" borderId="16" xfId="2" applyFill="1" applyBorder="1" applyAlignment="1">
      <alignment horizontal="center"/>
    </xf>
    <xf numFmtId="0" fontId="3" fillId="4" borderId="16" xfId="2" applyFill="1" applyBorder="1"/>
    <xf numFmtId="0" fontId="3" fillId="2" borderId="8" xfId="2" applyNumberFormat="1" applyFont="1" applyFill="1" applyBorder="1" applyAlignment="1" applyProtection="1">
      <alignment horizontal="center" vertical="center" wrapText="1"/>
      <protection hidden="1"/>
    </xf>
    <xf numFmtId="0" fontId="3" fillId="2" borderId="9" xfId="2" applyNumberFormat="1" applyFont="1" applyFill="1" applyBorder="1" applyAlignment="1" applyProtection="1">
      <alignment horizontal="center" vertical="center" wrapText="1"/>
      <protection hidden="1"/>
    </xf>
    <xf numFmtId="3" fontId="3" fillId="2" borderId="8" xfId="2" applyNumberFormat="1" applyFont="1" applyFill="1" applyBorder="1" applyAlignment="1" applyProtection="1">
      <alignment horizontal="center" vertical="center" wrapText="1"/>
      <protection hidden="1"/>
    </xf>
    <xf numFmtId="0" fontId="3" fillId="4" borderId="11" xfId="2" applyFill="1" applyBorder="1" applyAlignment="1">
      <alignment horizontal="center"/>
    </xf>
    <xf numFmtId="17" fontId="3" fillId="4" borderId="12" xfId="2" applyNumberFormat="1" applyFill="1" applyBorder="1" applyAlignment="1">
      <alignment horizontal="center"/>
    </xf>
    <xf numFmtId="17" fontId="3" fillId="4" borderId="11" xfId="2" applyNumberFormat="1" applyFill="1" applyBorder="1" applyAlignment="1">
      <alignment horizontal="center"/>
    </xf>
    <xf numFmtId="0" fontId="7" fillId="4" borderId="11" xfId="2" applyFont="1" applyFill="1" applyBorder="1"/>
    <xf numFmtId="1" fontId="45" fillId="4" borderId="11" xfId="2" applyNumberFormat="1" applyFont="1" applyFill="1" applyBorder="1" applyAlignment="1">
      <alignment horizontal="center"/>
    </xf>
    <xf numFmtId="1" fontId="45" fillId="0" borderId="11" xfId="2" applyNumberFormat="1" applyFont="1" applyFill="1" applyBorder="1" applyAlignment="1">
      <alignment horizontal="center"/>
    </xf>
    <xf numFmtId="1" fontId="45" fillId="4" borderId="12" xfId="2" applyNumberFormat="1" applyFont="1" applyFill="1" applyBorder="1" applyAlignment="1">
      <alignment horizontal="center"/>
    </xf>
    <xf numFmtId="0" fontId="3" fillId="0" borderId="10" xfId="2" applyBorder="1"/>
    <xf numFmtId="0" fontId="3" fillId="0" borderId="3" xfId="2" applyBorder="1"/>
    <xf numFmtId="0" fontId="3" fillId="0" borderId="2" xfId="2" applyBorder="1"/>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26" fillId="5" borderId="6" xfId="1" applyFont="1" applyFill="1" applyBorder="1" applyAlignment="1">
      <alignment horizontal="center" vertical="center"/>
    </xf>
    <xf numFmtId="0" fontId="26" fillId="5" borderId="9" xfId="1" applyFont="1" applyFill="1" applyBorder="1" applyAlignment="1">
      <alignment horizontal="center" vertical="center"/>
    </xf>
    <xf numFmtId="0" fontId="26" fillId="5" borderId="7" xfId="1" applyFont="1" applyFill="1" applyBorder="1" applyAlignment="1">
      <alignment horizontal="center" vertical="center"/>
    </xf>
    <xf numFmtId="0" fontId="26" fillId="4" borderId="5" xfId="1" applyFont="1" applyFill="1" applyBorder="1" applyAlignment="1">
      <alignment horizontal="center" vertical="center"/>
    </xf>
    <xf numFmtId="0" fontId="3" fillId="4" borderId="1" xfId="0" applyFont="1" applyFill="1" applyBorder="1" applyAlignment="1">
      <alignment horizontal="center" vertical="center"/>
    </xf>
    <xf numFmtId="0" fontId="3" fillId="4" borderId="17" xfId="0" applyFont="1" applyFill="1" applyBorder="1" applyAlignment="1">
      <alignment horizontal="center" vertical="center"/>
    </xf>
    <xf numFmtId="0" fontId="2" fillId="0" borderId="0" xfId="1" applyFont="1" applyBorder="1" applyAlignment="1">
      <alignment vertical="center"/>
    </xf>
    <xf numFmtId="0" fontId="2" fillId="0" borderId="0" xfId="0" applyFont="1" applyBorder="1" applyAlignment="1"/>
    <xf numFmtId="0" fontId="2" fillId="0" borderId="12" xfId="0" applyFont="1" applyBorder="1" applyAlignment="1"/>
    <xf numFmtId="0" fontId="26" fillId="0" borderId="2" xfId="1" applyFont="1" applyBorder="1" applyAlignment="1">
      <alignment horizontal="center" vertical="center"/>
    </xf>
    <xf numFmtId="0" fontId="26" fillId="0" borderId="3" xfId="1" applyFont="1" applyBorder="1" applyAlignment="1">
      <alignment horizontal="center" vertical="center"/>
    </xf>
    <xf numFmtId="0" fontId="26" fillId="0" borderId="4" xfId="1" applyFont="1" applyBorder="1" applyAlignment="1">
      <alignment horizontal="center" vertical="center"/>
    </xf>
    <xf numFmtId="0" fontId="39" fillId="0" borderId="10" xfId="1" applyFont="1" applyBorder="1" applyAlignment="1">
      <alignment horizontal="left" vertical="top" wrapText="1"/>
    </xf>
    <xf numFmtId="0" fontId="39" fillId="0" borderId="0" xfId="1" applyFont="1" applyBorder="1" applyAlignment="1">
      <alignment horizontal="left" vertical="top" wrapText="1"/>
    </xf>
    <xf numFmtId="0" fontId="39" fillId="0" borderId="12" xfId="1" applyFont="1" applyBorder="1" applyAlignment="1">
      <alignment horizontal="left" vertical="top" wrapText="1"/>
    </xf>
    <xf numFmtId="3" fontId="7" fillId="0" borderId="9" xfId="0" applyNumberFormat="1" applyFont="1" applyBorder="1" applyAlignment="1" applyProtection="1">
      <alignment wrapText="1"/>
      <protection hidden="1"/>
    </xf>
    <xf numFmtId="0" fontId="0" fillId="0" borderId="3" xfId="0" applyBorder="1" applyAlignment="1">
      <alignment wrapText="1"/>
    </xf>
    <xf numFmtId="0" fontId="0" fillId="0" borderId="4" xfId="0" applyBorder="1" applyAlignment="1">
      <alignment wrapText="1"/>
    </xf>
    <xf numFmtId="0" fontId="12" fillId="0" borderId="0" xfId="0" applyFont="1" applyAlignment="1">
      <alignment vertical="top" wrapText="1"/>
    </xf>
    <xf numFmtId="0" fontId="13" fillId="0" borderId="0" xfId="0" applyFont="1" applyAlignment="1">
      <alignment vertical="top" wrapText="1"/>
    </xf>
    <xf numFmtId="0" fontId="12" fillId="0" borderId="1" xfId="0" applyFont="1" applyBorder="1" applyAlignment="1">
      <alignment vertical="top" wrapText="1"/>
    </xf>
    <xf numFmtId="0" fontId="13" fillId="0" borderId="1" xfId="0" applyFont="1" applyBorder="1" applyAlignment="1">
      <alignment vertical="top" wrapText="1"/>
    </xf>
    <xf numFmtId="0" fontId="0" fillId="0" borderId="0" xfId="0" applyAlignment="1">
      <alignment horizontal="right" vertical="top" wrapText="1"/>
    </xf>
    <xf numFmtId="0" fontId="0" fillId="0" borderId="0" xfId="0" applyAlignment="1">
      <alignment horizontal="right" wrapText="1"/>
    </xf>
    <xf numFmtId="0" fontId="0" fillId="0" borderId="1" xfId="0" applyBorder="1" applyAlignment="1">
      <alignment horizontal="right"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3" fontId="3" fillId="0" borderId="2" xfId="0" applyNumberFormat="1" applyFont="1" applyBorder="1" applyAlignment="1" applyProtection="1">
      <alignment horizontal="center" wrapText="1"/>
      <protection hidden="1"/>
    </xf>
    <xf numFmtId="3" fontId="3" fillId="0" borderId="3" xfId="0" applyNumberFormat="1" applyFont="1" applyBorder="1" applyAlignment="1" applyProtection="1">
      <alignment horizontal="center" wrapText="1"/>
      <protection hidden="1"/>
    </xf>
    <xf numFmtId="3" fontId="4" fillId="0" borderId="3" xfId="0" applyNumberFormat="1" applyFont="1" applyBorder="1" applyAlignment="1" applyProtection="1">
      <alignment horizontal="left" wrapText="1"/>
      <protection hidden="1"/>
    </xf>
    <xf numFmtId="0" fontId="4" fillId="0" borderId="3" xfId="0" applyFont="1" applyBorder="1" applyAlignment="1">
      <alignment horizontal="left" wrapText="1"/>
    </xf>
    <xf numFmtId="0" fontId="4" fillId="0" borderId="4" xfId="0" applyFont="1" applyBorder="1" applyAlignment="1">
      <alignment horizontal="left" wrapText="1"/>
    </xf>
    <xf numFmtId="3" fontId="6" fillId="0" borderId="2" xfId="0" applyNumberFormat="1" applyFont="1" applyBorder="1" applyAlignment="1" applyProtection="1">
      <alignment horizontal="center" wrapText="1"/>
      <protection hidden="1"/>
    </xf>
    <xf numFmtId="0" fontId="6" fillId="0" borderId="3" xfId="0" applyFont="1" applyBorder="1" applyAlignment="1">
      <alignment horizontal="center" wrapText="1"/>
    </xf>
    <xf numFmtId="0" fontId="6" fillId="0" borderId="4" xfId="0" applyFont="1" applyBorder="1" applyAlignment="1">
      <alignment horizontal="center" wrapText="1"/>
    </xf>
    <xf numFmtId="3" fontId="3" fillId="0" borderId="5" xfId="0" applyNumberFormat="1" applyFont="1" applyBorder="1" applyAlignment="1" applyProtection="1">
      <alignment horizontal="left"/>
      <protection hidden="1"/>
    </xf>
    <xf numFmtId="3" fontId="3" fillId="0" borderId="1" xfId="0" applyNumberFormat="1" applyFont="1" applyBorder="1" applyAlignment="1" applyProtection="1">
      <alignment horizontal="left"/>
      <protection hidden="1"/>
    </xf>
    <xf numFmtId="3" fontId="7" fillId="0" borderId="3" xfId="0" applyNumberFormat="1" applyFont="1" applyBorder="1" applyAlignment="1" applyProtection="1">
      <alignment wrapText="1"/>
      <protection hidden="1"/>
    </xf>
    <xf numFmtId="0" fontId="1" fillId="0" borderId="3" xfId="0" applyFont="1" applyBorder="1" applyAlignment="1">
      <alignment wrapText="1"/>
    </xf>
    <xf numFmtId="0" fontId="1" fillId="0" borderId="4" xfId="0" applyFont="1" applyBorder="1" applyAlignment="1">
      <alignment wrapText="1"/>
    </xf>
    <xf numFmtId="3" fontId="6" fillId="0" borderId="2" xfId="0" applyNumberFormat="1" applyFont="1" applyBorder="1" applyAlignment="1" applyProtection="1">
      <alignment horizontal="center" vertical="center" wrapText="1"/>
      <protection hidden="1"/>
    </xf>
    <xf numFmtId="3" fontId="6" fillId="0" borderId="3" xfId="0" applyNumberFormat="1" applyFont="1" applyBorder="1" applyAlignment="1" applyProtection="1">
      <alignment horizontal="center" vertical="center" wrapText="1"/>
      <protection hidden="1"/>
    </xf>
    <xf numFmtId="0" fontId="0" fillId="0" borderId="3" xfId="0" applyBorder="1" applyAlignment="1"/>
    <xf numFmtId="0" fontId="0" fillId="0" borderId="4" xfId="0" applyBorder="1" applyAlignment="1"/>
    <xf numFmtId="3" fontId="6" fillId="0" borderId="4" xfId="0" applyNumberFormat="1" applyFont="1" applyBorder="1" applyAlignment="1" applyProtection="1">
      <alignment horizontal="center" vertical="center" wrapText="1"/>
      <protection hidden="1"/>
    </xf>
    <xf numFmtId="3" fontId="3" fillId="2" borderId="6" xfId="0" applyNumberFormat="1" applyFont="1" applyFill="1" applyBorder="1" applyAlignment="1" applyProtection="1">
      <alignment horizontal="center" vertical="center"/>
      <protection hidden="1"/>
    </xf>
    <xf numFmtId="0" fontId="0" fillId="0" borderId="7" xfId="0" applyBorder="1" applyAlignment="1">
      <alignment horizontal="center" vertical="center"/>
    </xf>
    <xf numFmtId="0" fontId="0" fillId="0" borderId="0" xfId="0" applyAlignment="1">
      <alignment wrapText="1"/>
    </xf>
    <xf numFmtId="0" fontId="0" fillId="0" borderId="1" xfId="0" applyBorder="1" applyAlignment="1">
      <alignment wrapText="1"/>
    </xf>
    <xf numFmtId="0" fontId="0" fillId="0" borderId="0" xfId="0" applyAlignment="1">
      <alignment vertical="top" wrapText="1"/>
    </xf>
    <xf numFmtId="3" fontId="3" fillId="0" borderId="4" xfId="0" applyNumberFormat="1" applyFont="1" applyBorder="1" applyAlignment="1" applyProtection="1">
      <alignment horizontal="center" wrapText="1"/>
      <protection hidden="1"/>
    </xf>
    <xf numFmtId="0" fontId="2" fillId="5" borderId="2" xfId="1" applyFont="1" applyFill="1" applyBorder="1" applyAlignment="1">
      <alignment horizontal="center"/>
    </xf>
    <xf numFmtId="0" fontId="2" fillId="5" borderId="3" xfId="1" applyFont="1" applyFill="1" applyBorder="1" applyAlignment="1">
      <alignment horizontal="center"/>
    </xf>
    <xf numFmtId="0" fontId="2" fillId="5" borderId="4" xfId="1" applyFont="1" applyFill="1" applyBorder="1" applyAlignment="1">
      <alignment horizontal="center"/>
    </xf>
    <xf numFmtId="3" fontId="4" fillId="0" borderId="4" xfId="0" applyNumberFormat="1" applyFont="1" applyBorder="1" applyAlignment="1" applyProtection="1">
      <alignment horizontal="left" wrapText="1"/>
      <protection hidden="1"/>
    </xf>
    <xf numFmtId="3" fontId="4" fillId="0" borderId="2" xfId="0" applyNumberFormat="1" applyFont="1" applyBorder="1" applyAlignment="1" applyProtection="1">
      <alignment horizontal="center" wrapText="1"/>
      <protection hidden="1"/>
    </xf>
    <xf numFmtId="3" fontId="4" fillId="0" borderId="4" xfId="0" applyNumberFormat="1" applyFont="1" applyBorder="1" applyAlignment="1" applyProtection="1">
      <alignment horizontal="center" wrapText="1"/>
      <protection hidden="1"/>
    </xf>
    <xf numFmtId="3" fontId="4" fillId="0" borderId="3" xfId="0" applyNumberFormat="1" applyFont="1" applyBorder="1" applyAlignment="1" applyProtection="1">
      <alignment horizontal="center" wrapText="1"/>
      <protection hidden="1"/>
    </xf>
    <xf numFmtId="0" fontId="3" fillId="0" borderId="19" xfId="2" applyFont="1" applyBorder="1" applyAlignment="1">
      <alignment horizontal="center" vertical="center"/>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3" fillId="0" borderId="22" xfId="2" applyFont="1" applyBorder="1" applyAlignment="1">
      <alignment horizontal="center" vertical="center"/>
    </xf>
    <xf numFmtId="0" fontId="3" fillId="0" borderId="23" xfId="2" applyFont="1" applyBorder="1" applyAlignment="1">
      <alignment horizontal="center" vertical="center"/>
    </xf>
    <xf numFmtId="0" fontId="3" fillId="0" borderId="24" xfId="2" applyFont="1" applyBorder="1" applyAlignment="1">
      <alignment horizontal="center" vertical="center"/>
    </xf>
    <xf numFmtId="0" fontId="3" fillId="0" borderId="25" xfId="2" applyFont="1" applyBorder="1" applyAlignment="1">
      <alignment horizontal="center" vertical="center"/>
    </xf>
    <xf numFmtId="0" fontId="3" fillId="0" borderId="26" xfId="2" applyFont="1" applyBorder="1" applyAlignment="1">
      <alignment horizontal="center" vertical="center"/>
    </xf>
    <xf numFmtId="0" fontId="3" fillId="0" borderId="27" xfId="2" applyFont="1" applyBorder="1" applyAlignment="1">
      <alignment horizontal="center" vertical="center"/>
    </xf>
    <xf numFmtId="0" fontId="3" fillId="0" borderId="10" xfId="2" applyFont="1" applyBorder="1" applyAlignment="1">
      <alignment horizontal="center" vertical="center"/>
    </xf>
    <xf numFmtId="0" fontId="3" fillId="0" borderId="0" xfId="2" applyFont="1" applyBorder="1" applyAlignment="1">
      <alignment horizontal="center" vertical="center"/>
    </xf>
    <xf numFmtId="0" fontId="3" fillId="0" borderId="12" xfId="2" applyFont="1" applyBorder="1" applyAlignment="1">
      <alignment horizontal="center" vertical="center"/>
    </xf>
    <xf numFmtId="0" fontId="29" fillId="0" borderId="0" xfId="2" applyFont="1" applyFill="1" applyBorder="1" applyAlignment="1">
      <alignment vertical="center" wrapText="1"/>
    </xf>
    <xf numFmtId="0" fontId="31" fillId="0" borderId="0" xfId="2" applyFont="1" applyAlignment="1">
      <alignment vertical="center" wrapText="1"/>
    </xf>
    <xf numFmtId="0" fontId="29" fillId="0" borderId="0" xfId="2" applyFont="1" applyFill="1" applyBorder="1" applyAlignment="1">
      <alignment wrapText="1"/>
    </xf>
    <xf numFmtId="0" fontId="31" fillId="0" borderId="0" xfId="2" applyFont="1"/>
    <xf numFmtId="0" fontId="2" fillId="0" borderId="2" xfId="2" applyFont="1" applyBorder="1" applyAlignment="1">
      <alignment horizontal="center"/>
    </xf>
    <xf numFmtId="0" fontId="2" fillId="0" borderId="3" xfId="2" applyFont="1" applyBorder="1" applyAlignment="1">
      <alignment horizontal="center"/>
    </xf>
    <xf numFmtId="0" fontId="2" fillId="0" borderId="4" xfId="2" applyFont="1" applyBorder="1" applyAlignment="1">
      <alignment horizontal="center"/>
    </xf>
    <xf numFmtId="0" fontId="2" fillId="0" borderId="3" xfId="3" applyFont="1" applyBorder="1" applyAlignment="1">
      <alignment horizontal="left"/>
    </xf>
    <xf numFmtId="0" fontId="2" fillId="0" borderId="4" xfId="3" applyFont="1" applyBorder="1" applyAlignment="1">
      <alignment horizontal="left"/>
    </xf>
    <xf numFmtId="0" fontId="7" fillId="0" borderId="2" xfId="3" applyFont="1" applyBorder="1" applyAlignment="1">
      <alignment horizontal="center" wrapText="1"/>
    </xf>
    <xf numFmtId="0" fontId="7" fillId="0" borderId="4" xfId="3" applyFont="1" applyBorder="1" applyAlignment="1">
      <alignment horizontal="center" wrapText="1"/>
    </xf>
    <xf numFmtId="0" fontId="7" fillId="0" borderId="3" xfId="3" applyFont="1" applyBorder="1" applyAlignment="1">
      <alignment horizontal="center"/>
    </xf>
    <xf numFmtId="0" fontId="2" fillId="0" borderId="3" xfId="5" applyFont="1" applyBorder="1" applyAlignment="1">
      <alignment horizontal="left"/>
    </xf>
    <xf numFmtId="0" fontId="7" fillId="0" borderId="2" xfId="5" applyFont="1" applyBorder="1" applyAlignment="1">
      <alignment horizontal="center" wrapText="1"/>
    </xf>
    <xf numFmtId="0" fontId="7" fillId="0" borderId="4" xfId="5" applyFont="1" applyBorder="1" applyAlignment="1">
      <alignment horizontal="center" wrapText="1"/>
    </xf>
    <xf numFmtId="0" fontId="7" fillId="0" borderId="3" xfId="5" applyFont="1" applyBorder="1" applyAlignment="1">
      <alignment horizontal="center"/>
    </xf>
    <xf numFmtId="0" fontId="33" fillId="4" borderId="8" xfId="0" applyFont="1" applyFill="1" applyBorder="1" applyAlignment="1">
      <alignment horizontal="center" vertical="center" wrapText="1"/>
    </xf>
    <xf numFmtId="0" fontId="31" fillId="0" borderId="16" xfId="0" applyFont="1" applyBorder="1" applyAlignment="1">
      <alignment horizontal="center" wrapText="1"/>
    </xf>
    <xf numFmtId="0" fontId="32" fillId="0" borderId="2" xfId="0" applyFont="1" applyFill="1" applyBorder="1" applyAlignment="1">
      <alignment horizontal="center"/>
    </xf>
    <xf numFmtId="0" fontId="33" fillId="0" borderId="3" xfId="0" applyFont="1" applyBorder="1" applyAlignment="1">
      <alignment horizontal="center"/>
    </xf>
    <xf numFmtId="0" fontId="33" fillId="0" borderId="4" xfId="0" applyFont="1" applyBorder="1" applyAlignment="1">
      <alignment horizontal="center"/>
    </xf>
    <xf numFmtId="3" fontId="31" fillId="0" borderId="2" xfId="0" applyNumberFormat="1" applyFont="1" applyBorder="1" applyAlignment="1" applyProtection="1">
      <alignment horizontal="left" wrapText="1"/>
      <protection hidden="1"/>
    </xf>
    <xf numFmtId="3" fontId="31" fillId="0" borderId="3" xfId="0" applyNumberFormat="1" applyFont="1" applyBorder="1" applyAlignment="1" applyProtection="1">
      <alignment horizontal="left" wrapText="1"/>
      <protection hidden="1"/>
    </xf>
    <xf numFmtId="3" fontId="34" fillId="0" borderId="3" xfId="0" applyNumberFormat="1" applyFont="1" applyBorder="1" applyAlignment="1" applyProtection="1">
      <alignment horizontal="left" wrapText="1"/>
      <protection hidden="1"/>
    </xf>
    <xf numFmtId="3" fontId="34" fillId="0" borderId="4" xfId="0" applyNumberFormat="1" applyFont="1" applyBorder="1" applyAlignment="1" applyProtection="1">
      <alignment horizontal="left" wrapText="1"/>
      <protection hidden="1"/>
    </xf>
    <xf numFmtId="3" fontId="34" fillId="0" borderId="2" xfId="0" applyNumberFormat="1" applyFont="1" applyBorder="1" applyAlignment="1" applyProtection="1">
      <alignment horizontal="center" wrapText="1"/>
      <protection hidden="1"/>
    </xf>
    <xf numFmtId="3" fontId="34" fillId="0" borderId="4" xfId="0" applyNumberFormat="1" applyFont="1" applyBorder="1" applyAlignment="1" applyProtection="1">
      <alignment horizontal="center" wrapText="1"/>
      <protection hidden="1"/>
    </xf>
    <xf numFmtId="3" fontId="34" fillId="0" borderId="3" xfId="0" applyNumberFormat="1" applyFont="1" applyBorder="1" applyAlignment="1" applyProtection="1">
      <alignment horizontal="center" wrapText="1"/>
      <protection hidden="1"/>
    </xf>
    <xf numFmtId="0" fontId="8" fillId="0" borderId="0" xfId="2" applyFont="1" applyAlignment="1">
      <alignment horizontal="left" vertical="top" wrapText="1"/>
    </xf>
    <xf numFmtId="3" fontId="3" fillId="0" borderId="2" xfId="2" applyNumberFormat="1" applyFont="1" applyBorder="1" applyAlignment="1" applyProtection="1">
      <alignment horizontal="center" wrapText="1"/>
      <protection hidden="1"/>
    </xf>
    <xf numFmtId="3" fontId="3" fillId="0" borderId="3" xfId="2" applyNumberFormat="1" applyFont="1" applyBorder="1" applyAlignment="1" applyProtection="1">
      <alignment horizontal="center" wrapText="1"/>
      <protection hidden="1"/>
    </xf>
    <xf numFmtId="3" fontId="3" fillId="0" borderId="4" xfId="2" applyNumberFormat="1" applyFont="1" applyBorder="1" applyAlignment="1" applyProtection="1">
      <alignment horizontal="center" wrapText="1"/>
      <protection hidden="1"/>
    </xf>
    <xf numFmtId="3" fontId="4" fillId="0" borderId="1" xfId="2" applyNumberFormat="1" applyFont="1" applyBorder="1" applyAlignment="1" applyProtection="1">
      <alignment horizontal="left" wrapText="1"/>
      <protection hidden="1"/>
    </xf>
    <xf numFmtId="3" fontId="4" fillId="0" borderId="17" xfId="2" applyNumberFormat="1" applyFont="1" applyBorder="1" applyAlignment="1" applyProtection="1">
      <alignment horizontal="left" wrapText="1"/>
      <protection hidden="1"/>
    </xf>
    <xf numFmtId="0" fontId="4" fillId="0" borderId="2" xfId="2" applyFont="1" applyBorder="1" applyAlignment="1">
      <alignment horizontal="center"/>
    </xf>
    <xf numFmtId="0" fontId="4" fillId="0" borderId="4" xfId="2" applyFont="1" applyBorder="1" applyAlignment="1">
      <alignment horizontal="center"/>
    </xf>
    <xf numFmtId="0" fontId="4" fillId="0" borderId="3" xfId="2" applyFont="1" applyBorder="1" applyAlignment="1">
      <alignment horizontal="center"/>
    </xf>
    <xf numFmtId="0" fontId="3" fillId="0" borderId="8" xfId="2" applyFont="1" applyBorder="1" applyAlignment="1">
      <alignment horizontal="center" vertical="center"/>
    </xf>
    <xf numFmtId="0" fontId="3" fillId="0" borderId="11" xfId="2" applyBorder="1" applyAlignment="1">
      <alignment horizontal="center" vertical="center"/>
    </xf>
  </cellXfs>
  <cellStyles count="42">
    <cellStyle name="Datum 10" xfId="6"/>
    <cellStyle name="Datum 11" xfId="7"/>
    <cellStyle name="Datum 12" xfId="8"/>
    <cellStyle name="Datum 8" xfId="9"/>
    <cellStyle name="Datum 9" xfId="10"/>
    <cellStyle name="Standard" xfId="0" builtinId="0"/>
    <cellStyle name="Standard 2" xfId="2"/>
    <cellStyle name="Standard 2 2" xfId="4"/>
    <cellStyle name="Standard 3" xfId="3"/>
    <cellStyle name="Standard 3 2" xfId="5"/>
    <cellStyle name="Standard 4" xfId="11"/>
    <cellStyle name="Standard_lfd_bericht" xfId="1"/>
    <cellStyle name="Tabelle Text 10" xfId="12"/>
    <cellStyle name="Tabelle Text 10 Z" xfId="13"/>
    <cellStyle name="Tabelle Text 11" xfId="14"/>
    <cellStyle name="Tabelle Text 11 Z" xfId="15"/>
    <cellStyle name="Tabelle Text 12" xfId="16"/>
    <cellStyle name="Tabelle Text 12 Z" xfId="17"/>
    <cellStyle name="Tabelle Text 8" xfId="18"/>
    <cellStyle name="Tabelle Text 8 Z" xfId="19"/>
    <cellStyle name="Tabelle Text 9" xfId="20"/>
    <cellStyle name="Tabelle Text 9 Z" xfId="21"/>
    <cellStyle name="Tabelle Überschrift 10" xfId="22"/>
    <cellStyle name="Tabelle Überschrift 11" xfId="23"/>
    <cellStyle name="Tabelle Überschrift 12" xfId="24"/>
    <cellStyle name="Tabelle Überschrift 8" xfId="25"/>
    <cellStyle name="Tabelle Überschrift 9" xfId="26"/>
    <cellStyle name="Tabelle Zahl 0 10" xfId="27"/>
    <cellStyle name="Tabelle Zahl 0 11" xfId="28"/>
    <cellStyle name="Tabelle Zahl 0 12" xfId="29"/>
    <cellStyle name="Tabelle Zahl 0 8" xfId="30"/>
    <cellStyle name="Tabelle Zahl 0 9" xfId="31"/>
    <cellStyle name="Tabelle Zahl 1 10" xfId="32"/>
    <cellStyle name="Tabelle Zahl 1 11" xfId="33"/>
    <cellStyle name="Tabelle Zahl 1 12" xfId="34"/>
    <cellStyle name="Tabelle Zahl 1 8" xfId="35"/>
    <cellStyle name="Tabelle Zahl 1 9" xfId="36"/>
    <cellStyle name="Tabelle Zahl 2 10" xfId="37"/>
    <cellStyle name="Tabelle Zahl 2 11" xfId="38"/>
    <cellStyle name="Tabelle Zahl 2 12" xfId="39"/>
    <cellStyle name="Tabelle Zahl 2 8" xfId="40"/>
    <cellStyle name="Tabelle Zahl 2 9" xfId="41"/>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view="pageLayout" zoomScale="60" zoomScaleNormal="100" zoomScalePageLayoutView="60" workbookViewId="0">
      <selection activeCell="A25" sqref="A25:G26"/>
    </sheetView>
  </sheetViews>
  <sheetFormatPr baseColWidth="10" defaultRowHeight="15"/>
  <cols>
    <col min="1" max="1" width="42.140625" style="125" customWidth="1"/>
    <col min="2" max="2" width="17.28515625" style="125" customWidth="1"/>
    <col min="3" max="6" width="11.42578125" style="125"/>
    <col min="7" max="7" width="12.42578125" style="125" customWidth="1"/>
    <col min="8" max="10" width="11.42578125" style="125"/>
  </cols>
  <sheetData>
    <row r="1" spans="1:10" s="103" customFormat="1" ht="15.75" customHeight="1">
      <c r="A1" s="102" t="s">
        <v>148</v>
      </c>
      <c r="B1" s="100"/>
      <c r="C1" s="100"/>
      <c r="D1" s="100"/>
      <c r="E1" s="100"/>
      <c r="F1" s="100"/>
      <c r="G1" s="101"/>
      <c r="H1" s="100"/>
      <c r="I1" s="100"/>
      <c r="J1" s="100"/>
    </row>
    <row r="2" spans="1:10" s="103" customFormat="1" ht="15.75" customHeight="1">
      <c r="A2" s="102" t="s">
        <v>149</v>
      </c>
      <c r="C2" s="100"/>
      <c r="D2" s="100"/>
      <c r="E2" s="100"/>
      <c r="F2" s="100"/>
      <c r="G2" s="101"/>
      <c r="H2" s="100"/>
      <c r="I2" s="100"/>
      <c r="J2" s="100"/>
    </row>
    <row r="3" spans="1:10" s="103" customFormat="1" ht="15.75" customHeight="1">
      <c r="A3" s="247" t="s">
        <v>150</v>
      </c>
      <c r="B3" s="100"/>
      <c r="C3" s="100"/>
      <c r="D3" s="100"/>
      <c r="E3" s="100"/>
      <c r="F3" s="100"/>
      <c r="G3" s="101"/>
      <c r="H3" s="100"/>
      <c r="I3" s="100"/>
      <c r="J3" s="100"/>
    </row>
    <row r="4" spans="1:10">
      <c r="A4" s="104"/>
      <c r="B4" s="104"/>
      <c r="C4" s="104"/>
      <c r="D4" s="104"/>
      <c r="E4" s="104"/>
      <c r="F4" s="104"/>
      <c r="G4" s="101"/>
    </row>
    <row r="5" spans="1:10">
      <c r="A5" s="104"/>
      <c r="B5" s="104"/>
      <c r="C5" s="104"/>
      <c r="D5" s="104"/>
      <c r="E5" s="104"/>
      <c r="F5" s="104"/>
      <c r="G5" s="104"/>
    </row>
    <row r="6" spans="1:10">
      <c r="A6" s="104"/>
      <c r="B6" s="104"/>
      <c r="C6" s="104"/>
      <c r="D6" s="104"/>
      <c r="E6" s="104"/>
      <c r="F6" s="104"/>
      <c r="G6" s="104"/>
    </row>
    <row r="7" spans="1:10" ht="39.950000000000003" customHeight="1">
      <c r="A7" s="452" t="s">
        <v>87</v>
      </c>
      <c r="B7" s="453"/>
      <c r="C7" s="453"/>
      <c r="D7" s="453"/>
      <c r="E7" s="453"/>
      <c r="F7" s="453"/>
      <c r="G7" s="454"/>
    </row>
    <row r="8" spans="1:10" ht="39.950000000000003" customHeight="1">
      <c r="A8" s="455" t="s">
        <v>4</v>
      </c>
      <c r="B8" s="456"/>
      <c r="C8" s="456"/>
      <c r="D8" s="456"/>
      <c r="E8" s="456"/>
      <c r="F8" s="456"/>
      <c r="G8" s="457"/>
    </row>
    <row r="9" spans="1:10">
      <c r="A9" s="243"/>
      <c r="B9" s="105"/>
      <c r="C9" s="106"/>
      <c r="D9" s="106"/>
      <c r="E9" s="106"/>
      <c r="F9" s="106"/>
      <c r="G9" s="107"/>
    </row>
    <row r="10" spans="1:10" ht="20.25">
      <c r="A10" s="108"/>
      <c r="B10" s="106"/>
      <c r="C10" s="106"/>
      <c r="D10" s="106"/>
      <c r="E10" s="106"/>
      <c r="F10" s="106"/>
      <c r="G10" s="107"/>
    </row>
    <row r="11" spans="1:10" ht="24.75" customHeight="1">
      <c r="A11" s="109" t="s">
        <v>80</v>
      </c>
      <c r="B11" s="458" t="s">
        <v>81</v>
      </c>
      <c r="C11" s="459"/>
      <c r="D11" s="459"/>
      <c r="E11" s="459"/>
      <c r="F11" s="459"/>
      <c r="G11" s="460"/>
    </row>
    <row r="12" spans="1:10" ht="24.75" customHeight="1">
      <c r="A12" s="109"/>
      <c r="B12" s="458"/>
      <c r="C12" s="459"/>
      <c r="D12" s="459"/>
      <c r="E12" s="459"/>
      <c r="F12" s="459"/>
      <c r="G12" s="460"/>
    </row>
    <row r="13" spans="1:10" ht="38.25" customHeight="1">
      <c r="A13" s="464" t="s">
        <v>156</v>
      </c>
      <c r="B13" s="465"/>
      <c r="C13" s="465"/>
      <c r="D13" s="465"/>
      <c r="E13" s="465"/>
      <c r="F13" s="465"/>
      <c r="G13" s="466"/>
    </row>
    <row r="14" spans="1:10" ht="24.75" customHeight="1">
      <c r="A14" s="112"/>
      <c r="B14" s="113"/>
      <c r="C14" s="110"/>
      <c r="D14" s="110"/>
      <c r="E14" s="110"/>
      <c r="F14" s="110"/>
      <c r="G14" s="111"/>
    </row>
    <row r="15" spans="1:10" s="18" customFormat="1" ht="39.950000000000003" customHeight="1">
      <c r="A15" s="461" t="s">
        <v>82</v>
      </c>
      <c r="B15" s="462"/>
      <c r="C15" s="462"/>
      <c r="D15" s="462"/>
      <c r="E15" s="462"/>
      <c r="F15" s="462"/>
      <c r="G15" s="463"/>
      <c r="H15" s="126"/>
      <c r="I15" s="126"/>
      <c r="J15" s="126"/>
    </row>
    <row r="16" spans="1:10" s="18" customFormat="1" ht="30" customHeight="1">
      <c r="A16" s="114"/>
      <c r="B16" s="115"/>
      <c r="C16" s="115"/>
      <c r="D16" s="115"/>
      <c r="E16" s="115"/>
      <c r="F16" s="115"/>
      <c r="G16" s="116"/>
      <c r="H16" s="126"/>
      <c r="I16" s="126"/>
      <c r="J16" s="126"/>
    </row>
    <row r="17" spans="1:10" ht="24.95" customHeight="1">
      <c r="A17" s="448" t="s">
        <v>2</v>
      </c>
      <c r="B17" s="449"/>
      <c r="C17" s="449"/>
      <c r="D17" s="450"/>
      <c r="E17" s="450"/>
      <c r="F17" s="450"/>
      <c r="G17" s="451"/>
      <c r="H17"/>
      <c r="I17"/>
      <c r="J17"/>
    </row>
    <row r="18" spans="1:10" ht="24.95" customHeight="1">
      <c r="A18" s="448"/>
      <c r="B18" s="449"/>
      <c r="C18" s="449"/>
      <c r="D18" s="450"/>
      <c r="E18" s="450"/>
      <c r="F18" s="450"/>
      <c r="G18" s="451"/>
      <c r="H18"/>
      <c r="I18"/>
      <c r="J18"/>
    </row>
    <row r="19" spans="1:10" ht="24.95" customHeight="1">
      <c r="A19" s="448" t="s">
        <v>83</v>
      </c>
      <c r="B19" s="449"/>
      <c r="C19" s="449"/>
      <c r="D19" s="450"/>
      <c r="E19" s="450"/>
      <c r="F19" s="450"/>
      <c r="G19" s="451"/>
      <c r="H19"/>
      <c r="I19"/>
      <c r="J19"/>
    </row>
    <row r="20" spans="1:10" ht="24.95" customHeight="1">
      <c r="A20" s="448"/>
      <c r="B20" s="449"/>
      <c r="C20" s="449"/>
      <c r="D20" s="450"/>
      <c r="E20" s="450"/>
      <c r="F20" s="450"/>
      <c r="G20" s="451"/>
      <c r="H20"/>
      <c r="I20"/>
      <c r="J20"/>
    </row>
    <row r="21" spans="1:10" ht="24.95" customHeight="1">
      <c r="A21" s="448" t="s">
        <v>84</v>
      </c>
      <c r="B21" s="449"/>
      <c r="C21" s="449"/>
      <c r="D21" s="450"/>
      <c r="E21" s="450"/>
      <c r="F21" s="450"/>
      <c r="G21" s="451"/>
      <c r="H21"/>
      <c r="I21"/>
      <c r="J21"/>
    </row>
    <row r="22" spans="1:10" ht="24.95" customHeight="1">
      <c r="A22" s="448"/>
      <c r="B22" s="449"/>
      <c r="C22" s="449"/>
      <c r="D22" s="450"/>
      <c r="E22" s="450"/>
      <c r="F22" s="450"/>
      <c r="G22" s="451"/>
      <c r="H22"/>
      <c r="I22"/>
      <c r="J22"/>
    </row>
    <row r="23" spans="1:10" ht="24.95" customHeight="1">
      <c r="A23" s="448" t="s">
        <v>85</v>
      </c>
      <c r="B23" s="449"/>
      <c r="C23" s="449"/>
      <c r="D23" s="450"/>
      <c r="E23" s="450"/>
      <c r="F23" s="450"/>
      <c r="G23" s="451"/>
      <c r="H23"/>
      <c r="I23"/>
      <c r="J23"/>
    </row>
    <row r="24" spans="1:10" ht="24.95" customHeight="1">
      <c r="A24" s="448"/>
      <c r="B24" s="449"/>
      <c r="C24" s="449"/>
      <c r="D24" s="450"/>
      <c r="E24" s="450"/>
      <c r="F24" s="450"/>
      <c r="G24" s="451"/>
      <c r="H24"/>
      <c r="I24"/>
      <c r="J24"/>
    </row>
    <row r="25" spans="1:10" ht="24.95" customHeight="1">
      <c r="A25" s="448" t="s">
        <v>86</v>
      </c>
      <c r="B25" s="449"/>
      <c r="C25" s="449"/>
      <c r="D25" s="450"/>
      <c r="E25" s="450"/>
      <c r="F25" s="450"/>
      <c r="G25" s="451"/>
      <c r="H25"/>
      <c r="I25"/>
      <c r="J25"/>
    </row>
    <row r="26" spans="1:10" ht="24.95" customHeight="1">
      <c r="A26" s="448"/>
      <c r="B26" s="449"/>
      <c r="C26" s="449"/>
      <c r="D26" s="450"/>
      <c r="E26" s="450"/>
      <c r="F26" s="450"/>
      <c r="G26" s="451"/>
      <c r="H26"/>
      <c r="I26"/>
      <c r="J26"/>
    </row>
    <row r="27" spans="1:10" ht="24.95" customHeight="1">
      <c r="A27" s="448"/>
      <c r="B27" s="449"/>
      <c r="C27" s="449"/>
      <c r="D27" s="450"/>
      <c r="E27" s="450"/>
      <c r="F27" s="450"/>
      <c r="G27" s="451"/>
      <c r="H27"/>
      <c r="I27"/>
      <c r="J27"/>
    </row>
    <row r="28" spans="1:10" ht="24.95" customHeight="1">
      <c r="A28" s="448"/>
      <c r="B28" s="449"/>
      <c r="C28" s="449"/>
      <c r="D28" s="450"/>
      <c r="E28" s="450"/>
      <c r="F28" s="450"/>
      <c r="G28" s="451"/>
      <c r="H28"/>
      <c r="I28"/>
      <c r="J28"/>
    </row>
    <row r="29" spans="1:10" ht="24.95" customHeight="1">
      <c r="A29" s="117"/>
      <c r="B29" s="118"/>
      <c r="C29" s="118"/>
      <c r="D29" s="119"/>
      <c r="E29" s="119"/>
      <c r="F29" s="119"/>
      <c r="G29" s="120"/>
      <c r="H29"/>
      <c r="I29"/>
      <c r="J29"/>
    </row>
    <row r="30" spans="1:10" ht="24.95" customHeight="1">
      <c r="A30" s="117"/>
      <c r="B30" s="118"/>
      <c r="C30" s="118"/>
      <c r="D30" s="119"/>
      <c r="E30" s="119"/>
      <c r="F30" s="119"/>
      <c r="G30" s="120"/>
      <c r="H30"/>
      <c r="I30"/>
      <c r="J30"/>
    </row>
    <row r="31" spans="1:10" ht="24.95" customHeight="1">
      <c r="A31" s="121"/>
      <c r="B31" s="119"/>
      <c r="C31" s="119"/>
      <c r="D31" s="119"/>
      <c r="E31" s="119"/>
      <c r="F31" s="119"/>
      <c r="G31" s="120"/>
      <c r="H31"/>
      <c r="I31"/>
      <c r="J31"/>
    </row>
    <row r="32" spans="1:10" ht="24.95" customHeight="1">
      <c r="A32" s="122"/>
      <c r="B32" s="123"/>
      <c r="C32" s="123"/>
      <c r="D32" s="123"/>
      <c r="E32" s="123"/>
      <c r="F32" s="123"/>
      <c r="G32" s="124"/>
      <c r="H32"/>
      <c r="I32"/>
      <c r="J32"/>
    </row>
    <row r="33" spans="1:10" ht="24.95" customHeight="1">
      <c r="A33" s="127"/>
      <c r="B33" s="127"/>
      <c r="C33" s="127"/>
      <c r="D33" s="127"/>
      <c r="E33" s="127"/>
      <c r="F33" s="127"/>
      <c r="G33" s="127"/>
      <c r="H33"/>
      <c r="I33"/>
      <c r="J33"/>
    </row>
    <row r="34" spans="1:10" ht="24.95" customHeight="1">
      <c r="A34" s="127"/>
      <c r="B34" s="127"/>
      <c r="C34" s="127"/>
      <c r="D34" s="127"/>
      <c r="E34" s="127"/>
      <c r="F34" s="127"/>
      <c r="G34" s="127"/>
      <c r="H34"/>
      <c r="I34"/>
      <c r="J34"/>
    </row>
    <row r="35" spans="1:10" ht="24.95" customHeight="1">
      <c r="A35" s="128"/>
      <c r="B35" s="128"/>
      <c r="C35" s="128"/>
      <c r="D35" s="128"/>
      <c r="E35" s="129"/>
      <c r="F35" s="129"/>
      <c r="G35" s="129"/>
      <c r="H35"/>
      <c r="I35"/>
      <c r="J35"/>
    </row>
    <row r="36" spans="1:10" ht="24.95" customHeight="1">
      <c r="A36" s="128"/>
      <c r="B36" s="128"/>
      <c r="C36" s="128"/>
      <c r="D36" s="128"/>
      <c r="E36" s="129"/>
      <c r="F36" s="129"/>
      <c r="G36" s="129"/>
      <c r="H36"/>
      <c r="I36"/>
      <c r="J36"/>
    </row>
    <row r="37" spans="1:10">
      <c r="H37"/>
      <c r="I37"/>
      <c r="J37"/>
    </row>
    <row r="38" spans="1:10">
      <c r="H38"/>
      <c r="I38"/>
      <c r="J38"/>
    </row>
    <row r="39" spans="1:10">
      <c r="H39"/>
      <c r="I39"/>
      <c r="J39"/>
    </row>
    <row r="40" spans="1:10">
      <c r="H40"/>
      <c r="I40"/>
      <c r="J40"/>
    </row>
  </sheetData>
  <mergeCells count="12">
    <mergeCell ref="A7:G7"/>
    <mergeCell ref="A8:G8"/>
    <mergeCell ref="B11:G11"/>
    <mergeCell ref="B12:G12"/>
    <mergeCell ref="A15:G15"/>
    <mergeCell ref="A13:G13"/>
    <mergeCell ref="A17:G18"/>
    <mergeCell ref="A27:G28"/>
    <mergeCell ref="A19:G20"/>
    <mergeCell ref="A21:G22"/>
    <mergeCell ref="A23:G24"/>
    <mergeCell ref="A25:G26"/>
  </mergeCells>
  <pageMargins left="0.51181102362204722" right="0.70866141732283472" top="0.39370078740157483" bottom="0.19685039370078741" header="0.31496062992125984" footer="0.31496062992125984"/>
  <pageSetup paperSize="9" scale="77" orientation="portrait" horizontalDpi="1200" verticalDpi="1200" r:id="rId1"/>
  <headerFooter>
    <oddHeader xml:space="preserve">&amp;RBlatt 2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view="pageLayout" zoomScale="70" zoomScaleNormal="100" zoomScalePageLayoutView="70" workbookViewId="0">
      <selection activeCell="N9" sqref="N9"/>
    </sheetView>
  </sheetViews>
  <sheetFormatPr baseColWidth="10" defaultRowHeight="15"/>
  <cols>
    <col min="1" max="1" width="6.28515625" customWidth="1"/>
    <col min="2" max="2" width="30.28515625" customWidth="1"/>
    <col min="3" max="13" width="12.7109375" customWidth="1"/>
  </cols>
  <sheetData>
    <row r="1" spans="1:13" ht="15" customHeight="1">
      <c r="A1" s="470" t="s">
        <v>0</v>
      </c>
      <c r="B1" s="470"/>
      <c r="C1" s="470"/>
      <c r="D1" s="470"/>
      <c r="E1" s="471"/>
      <c r="F1" s="8"/>
      <c r="G1" s="8"/>
      <c r="H1" s="8"/>
      <c r="I1" s="8"/>
      <c r="J1" s="474" t="s">
        <v>1</v>
      </c>
      <c r="K1" s="475"/>
      <c r="L1" s="475"/>
      <c r="M1" s="475"/>
    </row>
    <row r="2" spans="1:13">
      <c r="A2" s="470"/>
      <c r="B2" s="470"/>
      <c r="C2" s="470"/>
      <c r="D2" s="470"/>
      <c r="E2" s="471"/>
      <c r="F2" s="8"/>
      <c r="G2" s="8"/>
      <c r="H2" s="8"/>
      <c r="I2" s="8"/>
      <c r="J2" s="475"/>
      <c r="K2" s="475"/>
      <c r="L2" s="475"/>
      <c r="M2" s="475"/>
    </row>
    <row r="3" spans="1:13">
      <c r="A3" s="472"/>
      <c r="B3" s="472"/>
      <c r="C3" s="472"/>
      <c r="D3" s="472"/>
      <c r="E3" s="473"/>
      <c r="F3" s="23"/>
      <c r="G3" s="23"/>
      <c r="H3" s="23"/>
      <c r="I3" s="23"/>
      <c r="J3" s="476"/>
      <c r="K3" s="476"/>
      <c r="L3" s="476"/>
      <c r="M3" s="476"/>
    </row>
    <row r="4" spans="1:13" ht="18">
      <c r="A4" s="477" t="s">
        <v>2</v>
      </c>
      <c r="B4" s="478"/>
      <c r="C4" s="478"/>
      <c r="D4" s="478"/>
      <c r="E4" s="478"/>
      <c r="F4" s="478"/>
      <c r="G4" s="478"/>
      <c r="H4" s="478"/>
      <c r="I4" s="478"/>
      <c r="J4" s="478"/>
      <c r="K4" s="478"/>
      <c r="L4" s="478"/>
      <c r="M4" s="479"/>
    </row>
    <row r="5" spans="1:13" ht="15.75" customHeight="1">
      <c r="A5" s="480" t="s">
        <v>3</v>
      </c>
      <c r="B5" s="481"/>
      <c r="C5" s="482" t="s">
        <v>4</v>
      </c>
      <c r="D5" s="482"/>
      <c r="E5" s="482"/>
      <c r="F5" s="482"/>
      <c r="G5" s="482"/>
      <c r="H5" s="482"/>
      <c r="I5" s="482"/>
      <c r="J5" s="483"/>
      <c r="K5" s="483"/>
      <c r="L5" s="483"/>
      <c r="M5" s="484"/>
    </row>
    <row r="6" spans="1:13" ht="15" customHeight="1">
      <c r="A6" s="480" t="s">
        <v>5</v>
      </c>
      <c r="B6" s="481"/>
      <c r="C6" s="24"/>
      <c r="D6" s="24"/>
      <c r="E6" s="24"/>
      <c r="F6" s="24"/>
      <c r="G6" s="485" t="s">
        <v>6</v>
      </c>
      <c r="H6" s="486"/>
      <c r="I6" s="486"/>
      <c r="J6" s="486"/>
      <c r="K6" s="486"/>
      <c r="L6" s="486"/>
      <c r="M6" s="487"/>
    </row>
    <row r="7" spans="1:13" ht="15" customHeight="1">
      <c r="A7" s="488"/>
      <c r="B7" s="489"/>
      <c r="C7" s="490" t="s">
        <v>74</v>
      </c>
      <c r="D7" s="491"/>
      <c r="E7" s="491"/>
      <c r="F7" s="492"/>
      <c r="G7" s="493" t="s">
        <v>8</v>
      </c>
      <c r="H7" s="494"/>
      <c r="I7" s="495"/>
      <c r="J7" s="495"/>
      <c r="K7" s="496"/>
      <c r="L7" s="493" t="s">
        <v>9</v>
      </c>
      <c r="M7" s="497"/>
    </row>
    <row r="8" spans="1:13">
      <c r="A8" s="498" t="s">
        <v>10</v>
      </c>
      <c r="B8" s="499"/>
      <c r="C8" s="26" t="s">
        <v>11</v>
      </c>
      <c r="D8" s="26" t="s">
        <v>11</v>
      </c>
      <c r="E8" s="26" t="s">
        <v>12</v>
      </c>
      <c r="F8" s="26" t="s">
        <v>13</v>
      </c>
      <c r="G8" s="27" t="s">
        <v>14</v>
      </c>
      <c r="H8" s="27" t="s">
        <v>15</v>
      </c>
      <c r="I8" s="27" t="s">
        <v>16</v>
      </c>
      <c r="J8" s="27" t="s">
        <v>17</v>
      </c>
      <c r="K8" s="26" t="s">
        <v>18</v>
      </c>
      <c r="L8" s="28" t="s">
        <v>18</v>
      </c>
      <c r="M8" s="29" t="s">
        <v>18</v>
      </c>
    </row>
    <row r="9" spans="1:13">
      <c r="A9" s="30"/>
      <c r="B9" s="10"/>
      <c r="C9" s="31">
        <v>2015</v>
      </c>
      <c r="D9" s="31">
        <v>2016</v>
      </c>
      <c r="E9" s="31">
        <v>2017</v>
      </c>
      <c r="F9" s="31">
        <v>2017</v>
      </c>
      <c r="G9" s="32">
        <v>2018</v>
      </c>
      <c r="H9" s="32">
        <v>2018</v>
      </c>
      <c r="I9" s="32">
        <v>2018</v>
      </c>
      <c r="J9" s="32">
        <v>2018</v>
      </c>
      <c r="K9" s="33">
        <v>2019</v>
      </c>
      <c r="L9" s="11">
        <v>2020</v>
      </c>
      <c r="M9" s="33">
        <v>2021</v>
      </c>
    </row>
    <row r="10" spans="1:13" ht="15" customHeight="1">
      <c r="A10" s="34" t="s">
        <v>19</v>
      </c>
      <c r="B10" s="467" t="s">
        <v>20</v>
      </c>
      <c r="C10" s="468"/>
      <c r="D10" s="468"/>
      <c r="E10" s="468"/>
      <c r="F10" s="468"/>
      <c r="G10" s="468"/>
      <c r="H10" s="468"/>
      <c r="I10" s="468"/>
      <c r="J10" s="468"/>
      <c r="K10" s="468"/>
      <c r="L10" s="468"/>
      <c r="M10" s="469"/>
    </row>
    <row r="11" spans="1:13" ht="17.100000000000001" customHeight="1">
      <c r="A11" s="35">
        <v>1</v>
      </c>
      <c r="B11" s="36" t="s">
        <v>21</v>
      </c>
      <c r="C11" s="36">
        <f t="shared" ref="C11:M11" si="0">SUM(C12:C15)</f>
        <v>6389.0519999999997</v>
      </c>
      <c r="D11" s="36">
        <f t="shared" si="0"/>
        <v>4911.3550000000005</v>
      </c>
      <c r="E11" s="36">
        <f t="shared" si="0"/>
        <v>4967.3540000000003</v>
      </c>
      <c r="F11" s="36">
        <f t="shared" si="0"/>
        <v>4911.3340000000007</v>
      </c>
      <c r="G11" s="68">
        <f t="shared" si="0"/>
        <v>1386.2662500000001</v>
      </c>
      <c r="H11" s="68">
        <f t="shared" si="0"/>
        <v>2772.5325000000003</v>
      </c>
      <c r="I11" s="68">
        <f t="shared" si="0"/>
        <v>4158.7987499999999</v>
      </c>
      <c r="J11" s="36">
        <f t="shared" si="0"/>
        <v>5545.0650000000005</v>
      </c>
      <c r="K11" s="36">
        <f t="shared" si="0"/>
        <v>5554.2749999999996</v>
      </c>
      <c r="L11" s="36">
        <f t="shared" si="0"/>
        <v>4738.67</v>
      </c>
      <c r="M11" s="38">
        <f t="shared" si="0"/>
        <v>4848.3779999999997</v>
      </c>
    </row>
    <row r="12" spans="1:13" s="12" customFormat="1" ht="17.100000000000001" customHeight="1">
      <c r="A12" s="43" t="s">
        <v>22</v>
      </c>
      <c r="B12" s="40" t="s">
        <v>29</v>
      </c>
      <c r="C12" s="41">
        <v>5084.3639999999996</v>
      </c>
      <c r="D12" s="41">
        <v>3625.4380000000001</v>
      </c>
      <c r="E12" s="41">
        <v>3506.8</v>
      </c>
      <c r="F12" s="41">
        <v>3381.8</v>
      </c>
      <c r="G12" s="41">
        <v>1006.25</v>
      </c>
      <c r="H12" s="41">
        <v>2012.5</v>
      </c>
      <c r="I12" s="41">
        <v>3018.75</v>
      </c>
      <c r="J12" s="77">
        <v>4025</v>
      </c>
      <c r="K12" s="77">
        <v>4025</v>
      </c>
      <c r="L12" s="77">
        <v>3200</v>
      </c>
      <c r="M12" s="77">
        <v>3300</v>
      </c>
    </row>
    <row r="13" spans="1:13" s="12" customFormat="1" ht="17.100000000000001" customHeight="1">
      <c r="A13" s="43" t="s">
        <v>24</v>
      </c>
      <c r="B13" s="40" t="s">
        <v>75</v>
      </c>
      <c r="C13" s="41">
        <v>828.3</v>
      </c>
      <c r="D13" s="41">
        <v>832.04700000000003</v>
      </c>
      <c r="E13" s="41">
        <v>973.55399999999997</v>
      </c>
      <c r="F13" s="41">
        <v>1074.5340000000001</v>
      </c>
      <c r="G13" s="41">
        <v>270.89125000000001</v>
      </c>
      <c r="H13" s="41">
        <v>541.78250000000003</v>
      </c>
      <c r="I13" s="41">
        <v>812.67375000000004</v>
      </c>
      <c r="J13" s="77">
        <v>1083.5650000000001</v>
      </c>
      <c r="K13" s="77">
        <v>1092.7750000000001</v>
      </c>
      <c r="L13" s="82">
        <v>1102.17</v>
      </c>
      <c r="M13" s="82">
        <v>1111.8779999999999</v>
      </c>
    </row>
    <row r="14" spans="1:13" s="12" customFormat="1" ht="17.100000000000001" customHeight="1">
      <c r="A14" s="43" t="s">
        <v>26</v>
      </c>
      <c r="B14" s="40" t="s">
        <v>33</v>
      </c>
      <c r="C14" s="41">
        <v>190.40199999999999</v>
      </c>
      <c r="D14" s="41">
        <v>180.85599999999999</v>
      </c>
      <c r="E14" s="41">
        <v>170</v>
      </c>
      <c r="F14" s="41">
        <v>166.5</v>
      </c>
      <c r="G14" s="41">
        <v>41.625</v>
      </c>
      <c r="H14" s="41">
        <v>83.25</v>
      </c>
      <c r="I14" s="41">
        <v>124.875</v>
      </c>
      <c r="J14" s="77">
        <v>166.5</v>
      </c>
      <c r="K14" s="77">
        <v>166.5</v>
      </c>
      <c r="L14" s="77">
        <v>166.5</v>
      </c>
      <c r="M14" s="77">
        <v>166.5</v>
      </c>
    </row>
    <row r="15" spans="1:13" s="12" customFormat="1" ht="17.100000000000001" customHeight="1">
      <c r="A15" s="43" t="s">
        <v>28</v>
      </c>
      <c r="B15" s="40" t="s">
        <v>37</v>
      </c>
      <c r="C15" s="41">
        <v>285.98599999999999</v>
      </c>
      <c r="D15" s="41">
        <v>273.01400000000001</v>
      </c>
      <c r="E15" s="41">
        <v>317</v>
      </c>
      <c r="F15" s="41">
        <v>288.5</v>
      </c>
      <c r="G15" s="41">
        <v>67.5</v>
      </c>
      <c r="H15" s="41">
        <v>135</v>
      </c>
      <c r="I15" s="41">
        <v>202.5</v>
      </c>
      <c r="J15" s="77">
        <v>270</v>
      </c>
      <c r="K15" s="77">
        <v>270</v>
      </c>
      <c r="L15" s="77">
        <v>270</v>
      </c>
      <c r="M15" s="77">
        <v>270</v>
      </c>
    </row>
    <row r="16" spans="1:13" ht="17.100000000000001" customHeight="1">
      <c r="A16" s="35">
        <v>2</v>
      </c>
      <c r="B16" s="44" t="s">
        <v>38</v>
      </c>
      <c r="C16" s="45"/>
      <c r="D16" s="45"/>
      <c r="E16" s="45"/>
      <c r="F16" s="45"/>
      <c r="G16" s="41"/>
      <c r="H16" s="41"/>
      <c r="I16" s="41"/>
      <c r="J16" s="55"/>
      <c r="K16" s="55"/>
      <c r="L16" s="56"/>
      <c r="M16" s="56"/>
    </row>
    <row r="17" spans="1:14" ht="17.100000000000001" customHeight="1">
      <c r="A17" s="35">
        <v>3</v>
      </c>
      <c r="B17" s="44" t="s">
        <v>39</v>
      </c>
      <c r="C17" s="45"/>
      <c r="D17" s="45"/>
      <c r="E17" s="45"/>
      <c r="F17" s="45"/>
      <c r="G17" s="41"/>
      <c r="H17" s="41"/>
      <c r="I17" s="41"/>
      <c r="J17" s="55"/>
      <c r="K17" s="55"/>
      <c r="L17" s="56"/>
      <c r="M17" s="56"/>
    </row>
    <row r="18" spans="1:14" ht="17.100000000000001" customHeight="1">
      <c r="A18" s="35">
        <v>4</v>
      </c>
      <c r="B18" s="45" t="s">
        <v>40</v>
      </c>
      <c r="C18" s="45">
        <v>4458.1239999999998</v>
      </c>
      <c r="D18" s="45">
        <v>24453.204000000002</v>
      </c>
      <c r="E18" s="45">
        <v>13239</v>
      </c>
      <c r="F18" s="45">
        <v>9.5</v>
      </c>
      <c r="G18" s="41">
        <v>1352.25</v>
      </c>
      <c r="H18" s="41">
        <v>2704.5</v>
      </c>
      <c r="I18" s="41">
        <v>4056.75</v>
      </c>
      <c r="J18" s="55">
        <v>5409</v>
      </c>
      <c r="K18" s="55">
        <v>5208</v>
      </c>
      <c r="L18" s="56">
        <v>4418</v>
      </c>
      <c r="M18" s="56">
        <v>15</v>
      </c>
    </row>
    <row r="19" spans="1:14" ht="17.100000000000001" customHeight="1">
      <c r="A19" s="35">
        <v>5</v>
      </c>
      <c r="B19" s="47" t="s">
        <v>41</v>
      </c>
      <c r="C19" s="47">
        <f t="shared" ref="C19:M19" si="1">C11+C16+C17+C18</f>
        <v>10847.175999999999</v>
      </c>
      <c r="D19" s="47">
        <f t="shared" si="1"/>
        <v>29364.559000000001</v>
      </c>
      <c r="E19" s="47">
        <f t="shared" si="1"/>
        <v>18206.353999999999</v>
      </c>
      <c r="F19" s="47">
        <f t="shared" si="1"/>
        <v>4920.8340000000007</v>
      </c>
      <c r="G19" s="69">
        <f t="shared" si="1"/>
        <v>2738.5162500000001</v>
      </c>
      <c r="H19" s="69">
        <f t="shared" si="1"/>
        <v>5477.0325000000003</v>
      </c>
      <c r="I19" s="69">
        <f t="shared" si="1"/>
        <v>8215.5487499999999</v>
      </c>
      <c r="J19" s="47">
        <f t="shared" si="1"/>
        <v>10954.065000000001</v>
      </c>
      <c r="K19" s="47">
        <f t="shared" si="1"/>
        <v>10762.275</v>
      </c>
      <c r="L19" s="47">
        <f t="shared" si="1"/>
        <v>9156.67</v>
      </c>
      <c r="M19" s="49">
        <f t="shared" si="1"/>
        <v>4863.3779999999997</v>
      </c>
    </row>
    <row r="20" spans="1:14" ht="17.100000000000001" customHeight="1">
      <c r="A20" s="35">
        <v>6</v>
      </c>
      <c r="B20" s="45" t="s">
        <v>42</v>
      </c>
      <c r="C20" s="45">
        <v>177.226</v>
      </c>
      <c r="D20" s="45">
        <v>134.71</v>
      </c>
      <c r="E20" s="45">
        <v>188.42</v>
      </c>
      <c r="F20" s="45">
        <v>239.61699999999999</v>
      </c>
      <c r="G20" s="41">
        <v>39</v>
      </c>
      <c r="H20" s="41">
        <v>78</v>
      </c>
      <c r="I20" s="41">
        <v>117</v>
      </c>
      <c r="J20" s="55">
        <v>156</v>
      </c>
      <c r="K20" s="55">
        <v>157.56</v>
      </c>
      <c r="L20" s="55">
        <v>159.13560000000001</v>
      </c>
      <c r="M20" s="55">
        <v>160.726956</v>
      </c>
    </row>
    <row r="21" spans="1:14" ht="17.100000000000001" customHeight="1">
      <c r="A21" s="35">
        <v>7</v>
      </c>
      <c r="B21" s="45" t="s">
        <v>43</v>
      </c>
      <c r="C21" s="45">
        <v>1586.3820000000001</v>
      </c>
      <c r="D21" s="45">
        <v>1772.684</v>
      </c>
      <c r="E21" s="45">
        <v>2201</v>
      </c>
      <c r="F21" s="45">
        <v>1502.704</v>
      </c>
      <c r="G21" s="41">
        <v>531.25</v>
      </c>
      <c r="H21" s="41">
        <v>1062.5</v>
      </c>
      <c r="I21" s="41">
        <v>1593.75</v>
      </c>
      <c r="J21" s="55">
        <v>2125</v>
      </c>
      <c r="K21" s="55">
        <v>2097.5700000000002</v>
      </c>
      <c r="L21" s="56">
        <v>2012</v>
      </c>
      <c r="M21" s="56">
        <v>570</v>
      </c>
    </row>
    <row r="22" spans="1:14" ht="17.100000000000001" customHeight="1">
      <c r="A22" s="35">
        <v>8</v>
      </c>
      <c r="B22" s="45" t="s">
        <v>44</v>
      </c>
      <c r="C22" s="45">
        <v>1157.7</v>
      </c>
      <c r="D22" s="45">
        <v>1318.241</v>
      </c>
      <c r="E22" s="45">
        <v>1465.9390000000001</v>
      </c>
      <c r="F22" s="45">
        <v>1504.2860000000001</v>
      </c>
      <c r="G22" s="41">
        <v>372.52602610732248</v>
      </c>
      <c r="H22" s="41">
        <v>745.05205221464496</v>
      </c>
      <c r="I22" s="41">
        <v>1117.5780783219675</v>
      </c>
      <c r="J22" s="55">
        <v>1490.1041044292899</v>
      </c>
      <c r="K22" s="55">
        <v>1512.45566599573</v>
      </c>
      <c r="L22" s="56">
        <v>1535.14250098567</v>
      </c>
      <c r="M22" s="56">
        <v>1558.16963850045</v>
      </c>
      <c r="N22" s="13"/>
    </row>
    <row r="23" spans="1:14" ht="17.100000000000001" customHeight="1">
      <c r="A23" s="35">
        <v>9</v>
      </c>
      <c r="B23" s="45" t="s">
        <v>45</v>
      </c>
      <c r="C23" s="45">
        <v>998.00300000000004</v>
      </c>
      <c r="D23" s="45">
        <v>991.46799999999996</v>
      </c>
      <c r="E23" s="45">
        <v>913.8</v>
      </c>
      <c r="F23" s="45">
        <v>1392.038</v>
      </c>
      <c r="G23" s="41">
        <v>178.57499999999999</v>
      </c>
      <c r="H23" s="41">
        <v>357.15</v>
      </c>
      <c r="I23" s="41">
        <v>535.72499999999991</v>
      </c>
      <c r="J23" s="55">
        <v>714.3</v>
      </c>
      <c r="K23" s="55">
        <v>725.3</v>
      </c>
      <c r="L23" s="56">
        <v>884.3</v>
      </c>
      <c r="M23" s="56">
        <v>891.3</v>
      </c>
      <c r="N23" s="13"/>
    </row>
    <row r="24" spans="1:14" ht="17.100000000000001" customHeight="1">
      <c r="A24" s="35">
        <v>10</v>
      </c>
      <c r="B24" s="45" t="s">
        <v>46</v>
      </c>
      <c r="C24" s="45">
        <v>1758.61</v>
      </c>
      <c r="D24" s="45">
        <v>453.88799999999998</v>
      </c>
      <c r="E24" s="45">
        <v>766.63400000000001</v>
      </c>
      <c r="F24" s="45">
        <v>888.27599999999995</v>
      </c>
      <c r="G24" s="41">
        <v>195</v>
      </c>
      <c r="H24" s="41">
        <v>390</v>
      </c>
      <c r="I24" s="41">
        <v>585</v>
      </c>
      <c r="J24" s="55">
        <v>780</v>
      </c>
      <c r="K24" s="55">
        <v>787.8</v>
      </c>
      <c r="L24" s="55">
        <v>795.678</v>
      </c>
      <c r="M24" s="55">
        <v>803.63477999999998</v>
      </c>
      <c r="N24" s="13"/>
    </row>
    <row r="25" spans="1:14" s="14" customFormat="1" ht="17.100000000000001" customHeight="1">
      <c r="A25" s="35">
        <v>11</v>
      </c>
      <c r="B25" s="45" t="s">
        <v>47</v>
      </c>
      <c r="C25" s="45">
        <v>649.01199999999994</v>
      </c>
      <c r="D25" s="45">
        <v>607.85400000000004</v>
      </c>
      <c r="E25" s="45">
        <v>667</v>
      </c>
      <c r="F25" s="45">
        <v>763.12599999999998</v>
      </c>
      <c r="G25" s="41">
        <v>174.25</v>
      </c>
      <c r="H25" s="41">
        <v>348.5</v>
      </c>
      <c r="I25" s="41">
        <v>522.75</v>
      </c>
      <c r="J25" s="55">
        <v>697</v>
      </c>
      <c r="K25" s="55">
        <v>625</v>
      </c>
      <c r="L25" s="55">
        <v>631.25</v>
      </c>
      <c r="M25" s="55">
        <v>648</v>
      </c>
      <c r="N25" s="84"/>
    </row>
    <row r="26" spans="1:14" ht="17.100000000000001" customHeight="1">
      <c r="A26" s="35">
        <v>12</v>
      </c>
      <c r="B26" s="45" t="s">
        <v>48</v>
      </c>
      <c r="C26" s="45">
        <v>113.676</v>
      </c>
      <c r="D26" s="45">
        <v>79.375</v>
      </c>
      <c r="E26" s="45">
        <v>92.697999999999993</v>
      </c>
      <c r="F26" s="45">
        <v>82.805000000000007</v>
      </c>
      <c r="G26" s="41">
        <v>23.75</v>
      </c>
      <c r="H26" s="41">
        <v>47.5</v>
      </c>
      <c r="I26" s="41">
        <v>71.25</v>
      </c>
      <c r="J26" s="55">
        <v>95</v>
      </c>
      <c r="K26" s="55">
        <v>95</v>
      </c>
      <c r="L26" s="55">
        <v>95</v>
      </c>
      <c r="M26" s="55">
        <v>95</v>
      </c>
      <c r="N26" s="13"/>
    </row>
    <row r="27" spans="1:14" ht="17.100000000000001" customHeight="1">
      <c r="A27" s="35">
        <v>13</v>
      </c>
      <c r="B27" s="47" t="s">
        <v>49</v>
      </c>
      <c r="C27" s="47">
        <f t="shared" ref="C27:M27" si="2">SUM(C20:C26)</f>
        <v>6440.6090000000004</v>
      </c>
      <c r="D27" s="47">
        <f>SUM(D20:D26)</f>
        <v>5358.22</v>
      </c>
      <c r="E27" s="47">
        <f>SUM(E20:E26)</f>
        <v>6295.4910000000009</v>
      </c>
      <c r="F27" s="47">
        <f t="shared" ref="F27:I27" si="3">SUM(F20:F26)</f>
        <v>6372.8520000000008</v>
      </c>
      <c r="G27" s="69">
        <f t="shared" si="3"/>
        <v>1514.3510261073225</v>
      </c>
      <c r="H27" s="69">
        <f t="shared" si="3"/>
        <v>3028.7020522146449</v>
      </c>
      <c r="I27" s="69">
        <f t="shared" si="3"/>
        <v>4543.0530783219674</v>
      </c>
      <c r="J27" s="50">
        <f t="shared" si="2"/>
        <v>6057.4041044292899</v>
      </c>
      <c r="K27" s="50">
        <f t="shared" si="2"/>
        <v>6000.6856659957302</v>
      </c>
      <c r="L27" s="51">
        <f t="shared" si="2"/>
        <v>6112.5061009856699</v>
      </c>
      <c r="M27" s="51">
        <f t="shared" si="2"/>
        <v>4726.8313745004507</v>
      </c>
      <c r="N27" s="13"/>
    </row>
    <row r="28" spans="1:14" ht="17.100000000000001" customHeight="1">
      <c r="A28" s="35">
        <v>14</v>
      </c>
      <c r="B28" s="52" t="s">
        <v>50</v>
      </c>
      <c r="C28" s="52">
        <f>C19-C27</f>
        <v>4406.5669999999991</v>
      </c>
      <c r="D28" s="52">
        <f t="shared" ref="D28:M28" si="4">D19-D27</f>
        <v>24006.339</v>
      </c>
      <c r="E28" s="52">
        <f t="shared" si="4"/>
        <v>11910.862999999998</v>
      </c>
      <c r="F28" s="52">
        <f t="shared" si="4"/>
        <v>-1452.018</v>
      </c>
      <c r="G28" s="70">
        <f t="shared" si="4"/>
        <v>1224.1652238926777</v>
      </c>
      <c r="H28" s="70">
        <f t="shared" si="4"/>
        <v>2448.3304477853553</v>
      </c>
      <c r="I28" s="70">
        <f t="shared" si="4"/>
        <v>3672.4956716780325</v>
      </c>
      <c r="J28" s="52">
        <f t="shared" si="4"/>
        <v>4896.6608955707106</v>
      </c>
      <c r="K28" s="52">
        <f t="shared" si="4"/>
        <v>4761.5893340042694</v>
      </c>
      <c r="L28" s="52">
        <f t="shared" si="4"/>
        <v>3044.1638990143301</v>
      </c>
      <c r="M28" s="54">
        <f t="shared" si="4"/>
        <v>136.54662549954901</v>
      </c>
      <c r="N28" s="13"/>
    </row>
    <row r="29" spans="1:14" ht="17.100000000000001" customHeight="1">
      <c r="A29" s="35">
        <v>15</v>
      </c>
      <c r="B29" s="45" t="s">
        <v>51</v>
      </c>
      <c r="C29" s="45"/>
      <c r="D29" s="45"/>
      <c r="E29" s="45"/>
      <c r="F29" s="45"/>
      <c r="G29" s="41"/>
      <c r="H29" s="41"/>
      <c r="I29" s="41"/>
      <c r="J29" s="55"/>
      <c r="K29" s="55"/>
      <c r="L29" s="56"/>
      <c r="M29" s="56"/>
      <c r="N29" s="13"/>
    </row>
    <row r="30" spans="1:14" ht="17.100000000000001" customHeight="1">
      <c r="A30" s="35">
        <v>16</v>
      </c>
      <c r="B30" s="45" t="s">
        <v>52</v>
      </c>
      <c r="C30" s="45">
        <v>0.625</v>
      </c>
      <c r="D30" s="45"/>
      <c r="E30" s="45"/>
      <c r="F30" s="45">
        <v>14.5</v>
      </c>
      <c r="G30" s="41"/>
      <c r="H30" s="41"/>
      <c r="I30" s="41"/>
      <c r="J30" s="55"/>
      <c r="K30" s="55"/>
      <c r="L30" s="55"/>
      <c r="M30" s="55"/>
      <c r="N30" s="13"/>
    </row>
    <row r="31" spans="1:14" ht="17.100000000000001" customHeight="1">
      <c r="A31" s="35">
        <v>17</v>
      </c>
      <c r="B31" s="45" t="s">
        <v>53</v>
      </c>
      <c r="C31" s="45">
        <v>4317.0600000000004</v>
      </c>
      <c r="D31" s="45">
        <v>9304.009</v>
      </c>
      <c r="E31" s="45">
        <v>11865</v>
      </c>
      <c r="F31" s="45">
        <v>7806.4</v>
      </c>
      <c r="G31" s="41">
        <v>1204.5</v>
      </c>
      <c r="H31" s="41">
        <v>2409</v>
      </c>
      <c r="I31" s="41">
        <v>3613.5</v>
      </c>
      <c r="J31" s="55">
        <v>4818</v>
      </c>
      <c r="K31" s="55">
        <v>4675</v>
      </c>
      <c r="L31" s="56">
        <v>2957</v>
      </c>
      <c r="M31" s="56">
        <v>42</v>
      </c>
    </row>
    <row r="32" spans="1:14" ht="17.100000000000001" customHeight="1">
      <c r="A32" s="35">
        <v>18</v>
      </c>
      <c r="B32" s="57" t="s">
        <v>54</v>
      </c>
      <c r="C32" s="57">
        <f>C29+C30-C31</f>
        <v>-4316.4350000000004</v>
      </c>
      <c r="D32" s="57">
        <f t="shared" ref="D32:M32" si="5">D29+D30-D31</f>
        <v>-9304.009</v>
      </c>
      <c r="E32" s="57">
        <f t="shared" si="5"/>
        <v>-11865</v>
      </c>
      <c r="F32" s="57">
        <f t="shared" si="5"/>
        <v>-7791.9</v>
      </c>
      <c r="G32" s="71">
        <f t="shared" si="5"/>
        <v>-1204.5</v>
      </c>
      <c r="H32" s="71">
        <f t="shared" si="5"/>
        <v>-2409</v>
      </c>
      <c r="I32" s="71">
        <f t="shared" si="5"/>
        <v>-3613.5</v>
      </c>
      <c r="J32" s="57">
        <f t="shared" si="5"/>
        <v>-4818</v>
      </c>
      <c r="K32" s="57">
        <f t="shared" si="5"/>
        <v>-4675</v>
      </c>
      <c r="L32" s="57">
        <f t="shared" si="5"/>
        <v>-2957</v>
      </c>
      <c r="M32" s="59">
        <f t="shared" si="5"/>
        <v>-42</v>
      </c>
    </row>
    <row r="33" spans="1:13" ht="17.100000000000001" customHeight="1">
      <c r="A33" s="35">
        <v>19</v>
      </c>
      <c r="B33" s="60" t="s">
        <v>55</v>
      </c>
      <c r="C33" s="52">
        <f t="shared" ref="C33:M33" si="6">C28+C32</f>
        <v>90.131999999998698</v>
      </c>
      <c r="D33" s="52">
        <f t="shared" si="6"/>
        <v>14702.33</v>
      </c>
      <c r="E33" s="52">
        <f>E28+E32</f>
        <v>45.862999999997555</v>
      </c>
      <c r="F33" s="52">
        <f t="shared" ref="F33:I33" si="7">F28+F32</f>
        <v>-9243.9179999999997</v>
      </c>
      <c r="G33" s="70">
        <f t="shared" si="7"/>
        <v>19.665223892677659</v>
      </c>
      <c r="H33" s="70">
        <f t="shared" si="7"/>
        <v>39.330447785355318</v>
      </c>
      <c r="I33" s="70">
        <f t="shared" si="7"/>
        <v>58.995671678032522</v>
      </c>
      <c r="J33" s="61">
        <f t="shared" si="6"/>
        <v>78.660895570710636</v>
      </c>
      <c r="K33" s="61">
        <f t="shared" si="6"/>
        <v>86.589334004269404</v>
      </c>
      <c r="L33" s="62">
        <f t="shared" si="6"/>
        <v>87.163899014330127</v>
      </c>
      <c r="M33" s="62">
        <f t="shared" si="6"/>
        <v>94.546625499549009</v>
      </c>
    </row>
    <row r="34" spans="1:13" ht="17.100000000000001" customHeight="1">
      <c r="A34" s="35">
        <v>20</v>
      </c>
      <c r="B34" s="4" t="s">
        <v>56</v>
      </c>
      <c r="C34" s="4"/>
      <c r="D34" s="4"/>
      <c r="E34" s="4"/>
      <c r="F34" s="4"/>
      <c r="G34" s="2"/>
      <c r="H34" s="2"/>
      <c r="I34" s="2"/>
      <c r="J34" s="6"/>
      <c r="K34" s="6"/>
      <c r="L34" s="7"/>
      <c r="M34" s="7"/>
    </row>
    <row r="35" spans="1:13" ht="17.100000000000001" customHeight="1">
      <c r="A35" s="35">
        <v>21</v>
      </c>
      <c r="B35" s="45" t="s">
        <v>57</v>
      </c>
      <c r="C35" s="45">
        <v>4.7510000000000003</v>
      </c>
      <c r="D35" s="45">
        <v>31.138000000000002</v>
      </c>
      <c r="E35" s="45">
        <v>10.15</v>
      </c>
      <c r="F35" s="45">
        <v>4.1500000000000004</v>
      </c>
      <c r="G35" s="41">
        <v>3.75</v>
      </c>
      <c r="H35" s="41">
        <v>7.5</v>
      </c>
      <c r="I35" s="41">
        <v>11.25</v>
      </c>
      <c r="J35" s="55">
        <v>15</v>
      </c>
      <c r="K35" s="55">
        <v>15</v>
      </c>
      <c r="L35" s="55">
        <v>15</v>
      </c>
      <c r="M35" s="55">
        <v>15</v>
      </c>
    </row>
    <row r="36" spans="1:13" ht="17.100000000000001" customHeight="1">
      <c r="A36" s="63">
        <v>22</v>
      </c>
      <c r="B36" s="64" t="s">
        <v>58</v>
      </c>
      <c r="C36" s="64">
        <f t="shared" ref="C36:M36" si="8">C33+C34-C35</f>
        <v>85.380999999998693</v>
      </c>
      <c r="D36" s="64">
        <f t="shared" si="8"/>
        <v>14671.191999999999</v>
      </c>
      <c r="E36" s="64">
        <f t="shared" si="8"/>
        <v>35.712999999997557</v>
      </c>
      <c r="F36" s="64">
        <f t="shared" si="8"/>
        <v>-9248.0679999999993</v>
      </c>
      <c r="G36" s="72">
        <f t="shared" si="8"/>
        <v>15.915223892677659</v>
      </c>
      <c r="H36" s="72">
        <f t="shared" si="8"/>
        <v>31.830447785355318</v>
      </c>
      <c r="I36" s="72">
        <f t="shared" si="8"/>
        <v>47.745671678032522</v>
      </c>
      <c r="J36" s="66">
        <f t="shared" si="8"/>
        <v>63.660895570710636</v>
      </c>
      <c r="K36" s="66">
        <f t="shared" si="8"/>
        <v>71.589334004269404</v>
      </c>
      <c r="L36" s="67">
        <f t="shared" si="8"/>
        <v>72.163899014330127</v>
      </c>
      <c r="M36" s="67">
        <f t="shared" si="8"/>
        <v>79.546625499549009</v>
      </c>
    </row>
    <row r="37" spans="1:13">
      <c r="A37" s="88"/>
      <c r="B37" s="88"/>
      <c r="C37" s="88"/>
      <c r="D37" s="88"/>
      <c r="E37" s="88"/>
      <c r="F37" s="88"/>
      <c r="G37" s="89"/>
      <c r="H37" s="89"/>
      <c r="I37" s="89"/>
      <c r="J37" s="88"/>
      <c r="K37" s="88"/>
      <c r="L37" s="88"/>
      <c r="M37" s="88"/>
    </row>
    <row r="38" spans="1:13">
      <c r="A38" s="88"/>
      <c r="B38" s="88"/>
      <c r="C38" s="88"/>
      <c r="D38" s="88"/>
      <c r="E38" s="88"/>
      <c r="F38" s="88"/>
      <c r="G38" s="88"/>
      <c r="H38" s="88"/>
      <c r="I38" s="88"/>
      <c r="J38" s="88"/>
      <c r="K38" s="88"/>
      <c r="L38" s="88"/>
      <c r="M38" s="88"/>
    </row>
    <row r="39" spans="1:13">
      <c r="A39" s="88"/>
      <c r="B39" s="88"/>
      <c r="C39" s="88"/>
      <c r="D39" s="88"/>
      <c r="E39" s="88"/>
      <c r="F39" s="88"/>
      <c r="G39" s="88"/>
      <c r="H39" s="88"/>
      <c r="I39" s="88"/>
      <c r="J39" s="88"/>
      <c r="K39" s="88"/>
      <c r="L39" s="88"/>
      <c r="M39" s="88"/>
    </row>
    <row r="40" spans="1:13">
      <c r="A40" s="88"/>
      <c r="B40" s="88"/>
      <c r="C40" s="88"/>
      <c r="D40" s="88"/>
      <c r="E40" s="88"/>
      <c r="F40" s="88"/>
      <c r="G40" s="88"/>
      <c r="H40" s="88"/>
      <c r="I40" s="88"/>
      <c r="J40" s="88"/>
      <c r="K40" s="88"/>
      <c r="L40" s="88"/>
      <c r="M40" s="88"/>
    </row>
    <row r="41" spans="1:13">
      <c r="A41" s="88"/>
      <c r="B41" s="88"/>
      <c r="C41" s="88"/>
      <c r="D41" s="88"/>
      <c r="E41" s="88"/>
      <c r="F41" s="88"/>
      <c r="G41" s="88"/>
      <c r="H41" s="88"/>
      <c r="I41" s="88"/>
      <c r="J41" s="88"/>
      <c r="K41" s="88"/>
      <c r="L41" s="88"/>
      <c r="M41" s="88"/>
    </row>
    <row r="42" spans="1:13">
      <c r="A42" s="88"/>
      <c r="B42" s="88"/>
      <c r="C42" s="88"/>
      <c r="D42" s="88"/>
      <c r="E42" s="88"/>
      <c r="F42" s="88"/>
      <c r="G42" s="88"/>
      <c r="H42" s="88"/>
      <c r="I42" s="88"/>
      <c r="J42" s="88"/>
      <c r="K42" s="88"/>
      <c r="L42" s="88"/>
      <c r="M42" s="88"/>
    </row>
  </sheetData>
  <mergeCells count="13">
    <mergeCell ref="B10:M10"/>
    <mergeCell ref="A1:E3"/>
    <mergeCell ref="J1:M3"/>
    <mergeCell ref="A4:M4"/>
    <mergeCell ref="A5:B5"/>
    <mergeCell ref="C5:M5"/>
    <mergeCell ref="A6:B6"/>
    <mergeCell ref="G6:M6"/>
    <mergeCell ref="A7:B7"/>
    <mergeCell ref="C7:F7"/>
    <mergeCell ref="G7:K7"/>
    <mergeCell ref="L7:M7"/>
    <mergeCell ref="A8:B8"/>
  </mergeCells>
  <pageMargins left="0.51181102362204722" right="0" top="0.39370078740157483" bottom="0.19685039370078741" header="0.31496062992125984" footer="0.31496062992125984"/>
  <pageSetup paperSize="9" scale="70" orientation="landscape" r:id="rId1"/>
  <headerFooter>
    <oddHeader>&amp;RBlatt 2e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Layout" zoomScale="70" zoomScaleNormal="100" zoomScalePageLayoutView="70" workbookViewId="0">
      <selection activeCell="G29" sqref="G29"/>
    </sheetView>
  </sheetViews>
  <sheetFormatPr baseColWidth="10" defaultRowHeight="15"/>
  <cols>
    <col min="1" max="1" width="6.28515625" customWidth="1"/>
    <col min="2" max="2" width="30.28515625" customWidth="1"/>
    <col min="3" max="13" width="12.7109375" customWidth="1"/>
    <col min="14" max="14" width="6.5703125" customWidth="1"/>
  </cols>
  <sheetData>
    <row r="1" spans="1:14" ht="15" customHeight="1">
      <c r="A1" s="470" t="s">
        <v>0</v>
      </c>
      <c r="B1" s="470"/>
      <c r="C1" s="470"/>
      <c r="D1" s="470"/>
      <c r="E1" s="471"/>
      <c r="F1" s="8"/>
      <c r="G1" s="8"/>
      <c r="H1" s="8"/>
      <c r="I1" s="8"/>
      <c r="J1" s="474" t="s">
        <v>1</v>
      </c>
      <c r="K1" s="475"/>
      <c r="L1" s="475"/>
      <c r="M1" s="475"/>
      <c r="N1" s="9"/>
    </row>
    <row r="2" spans="1:14">
      <c r="A2" s="470"/>
      <c r="B2" s="470"/>
      <c r="C2" s="470"/>
      <c r="D2" s="470"/>
      <c r="E2" s="471"/>
      <c r="F2" s="8"/>
      <c r="G2" s="8"/>
      <c r="H2" s="8"/>
      <c r="I2" s="8"/>
      <c r="J2" s="475"/>
      <c r="K2" s="475"/>
      <c r="L2" s="475"/>
      <c r="M2" s="475"/>
      <c r="N2" s="9"/>
    </row>
    <row r="3" spans="1:14">
      <c r="A3" s="472"/>
      <c r="B3" s="472"/>
      <c r="C3" s="472"/>
      <c r="D3" s="472"/>
      <c r="E3" s="473"/>
      <c r="F3" s="23"/>
      <c r="G3" s="23"/>
      <c r="H3" s="23"/>
      <c r="I3" s="23"/>
      <c r="J3" s="476"/>
      <c r="K3" s="476"/>
      <c r="L3" s="476"/>
      <c r="M3" s="476"/>
      <c r="N3" s="9"/>
    </row>
    <row r="4" spans="1:14" ht="18">
      <c r="A4" s="477" t="s">
        <v>2</v>
      </c>
      <c r="B4" s="478"/>
      <c r="C4" s="478"/>
      <c r="D4" s="478"/>
      <c r="E4" s="478"/>
      <c r="F4" s="478"/>
      <c r="G4" s="478"/>
      <c r="H4" s="478"/>
      <c r="I4" s="478"/>
      <c r="J4" s="478"/>
      <c r="K4" s="478"/>
      <c r="L4" s="478"/>
      <c r="M4" s="479"/>
    </row>
    <row r="5" spans="1:14" ht="15.75" customHeight="1">
      <c r="A5" s="480" t="s">
        <v>3</v>
      </c>
      <c r="B5" s="481"/>
      <c r="C5" s="482" t="s">
        <v>4</v>
      </c>
      <c r="D5" s="482"/>
      <c r="E5" s="482"/>
      <c r="F5" s="482"/>
      <c r="G5" s="482"/>
      <c r="H5" s="482"/>
      <c r="I5" s="482"/>
      <c r="J5" s="483"/>
      <c r="K5" s="483"/>
      <c r="L5" s="483"/>
      <c r="M5" s="484"/>
    </row>
    <row r="6" spans="1:14" ht="15" customHeight="1">
      <c r="A6" s="480" t="s">
        <v>5</v>
      </c>
      <c r="B6" s="481"/>
      <c r="C6" s="24"/>
      <c r="D6" s="24"/>
      <c r="E6" s="24"/>
      <c r="F6" s="24"/>
      <c r="G6" s="485" t="s">
        <v>6</v>
      </c>
      <c r="H6" s="486"/>
      <c r="I6" s="486"/>
      <c r="J6" s="486"/>
      <c r="K6" s="486"/>
      <c r="L6" s="486"/>
      <c r="M6" s="487"/>
    </row>
    <row r="7" spans="1:14" ht="15" customHeight="1">
      <c r="A7" s="488"/>
      <c r="B7" s="489"/>
      <c r="C7" s="490" t="s">
        <v>76</v>
      </c>
      <c r="D7" s="491"/>
      <c r="E7" s="491"/>
      <c r="F7" s="492"/>
      <c r="G7" s="493" t="s">
        <v>8</v>
      </c>
      <c r="H7" s="494"/>
      <c r="I7" s="495"/>
      <c r="J7" s="495"/>
      <c r="K7" s="496"/>
      <c r="L7" s="493" t="s">
        <v>9</v>
      </c>
      <c r="M7" s="497"/>
    </row>
    <row r="8" spans="1:14">
      <c r="A8" s="498" t="s">
        <v>10</v>
      </c>
      <c r="B8" s="499"/>
      <c r="C8" s="26" t="s">
        <v>11</v>
      </c>
      <c r="D8" s="26" t="s">
        <v>11</v>
      </c>
      <c r="E8" s="26" t="s">
        <v>12</v>
      </c>
      <c r="F8" s="26" t="s">
        <v>13</v>
      </c>
      <c r="G8" s="27" t="s">
        <v>14</v>
      </c>
      <c r="H8" s="27" t="s">
        <v>15</v>
      </c>
      <c r="I8" s="27" t="s">
        <v>16</v>
      </c>
      <c r="J8" s="27" t="s">
        <v>17</v>
      </c>
      <c r="K8" s="26" t="s">
        <v>18</v>
      </c>
      <c r="L8" s="28" t="s">
        <v>18</v>
      </c>
      <c r="M8" s="29" t="s">
        <v>18</v>
      </c>
    </row>
    <row r="9" spans="1:14">
      <c r="A9" s="30"/>
      <c r="B9" s="10"/>
      <c r="C9" s="31">
        <v>2015</v>
      </c>
      <c r="D9" s="31">
        <v>2016</v>
      </c>
      <c r="E9" s="31">
        <v>2017</v>
      </c>
      <c r="F9" s="31">
        <v>2017</v>
      </c>
      <c r="G9" s="32">
        <v>2018</v>
      </c>
      <c r="H9" s="32">
        <v>2018</v>
      </c>
      <c r="I9" s="32">
        <v>2018</v>
      </c>
      <c r="J9" s="32">
        <v>2018</v>
      </c>
      <c r="K9" s="33">
        <v>2019</v>
      </c>
      <c r="L9" s="11">
        <v>2020</v>
      </c>
      <c r="M9" s="33">
        <v>2021</v>
      </c>
    </row>
    <row r="10" spans="1:14" ht="15" customHeight="1">
      <c r="A10" s="34" t="s">
        <v>19</v>
      </c>
      <c r="B10" s="467" t="s">
        <v>20</v>
      </c>
      <c r="C10" s="468"/>
      <c r="D10" s="468"/>
      <c r="E10" s="468"/>
      <c r="F10" s="468"/>
      <c r="G10" s="468"/>
      <c r="H10" s="468"/>
      <c r="I10" s="468"/>
      <c r="J10" s="468"/>
      <c r="K10" s="468"/>
      <c r="L10" s="468"/>
      <c r="M10" s="469"/>
    </row>
    <row r="11" spans="1:14" ht="17.100000000000001" customHeight="1">
      <c r="A11" s="35">
        <v>1</v>
      </c>
      <c r="B11" s="36" t="s">
        <v>21</v>
      </c>
      <c r="C11" s="36">
        <f t="shared" ref="C11:M11" si="0">SUM(C12:C14)</f>
        <v>94659.57699999999</v>
      </c>
      <c r="D11" s="36">
        <f t="shared" si="0"/>
        <v>97187.714999999997</v>
      </c>
      <c r="E11" s="36">
        <f t="shared" si="0"/>
        <v>99492.547000000006</v>
      </c>
      <c r="F11" s="36">
        <f t="shared" si="0"/>
        <v>96559.994999999995</v>
      </c>
      <c r="G11" s="68">
        <f t="shared" si="0"/>
        <v>24604.25</v>
      </c>
      <c r="H11" s="68">
        <f t="shared" si="0"/>
        <v>49208.5</v>
      </c>
      <c r="I11" s="68">
        <f t="shared" si="0"/>
        <v>73812.75</v>
      </c>
      <c r="J11" s="36">
        <f t="shared" si="0"/>
        <v>98417</v>
      </c>
      <c r="K11" s="36">
        <f t="shared" si="0"/>
        <v>98052</v>
      </c>
      <c r="L11" s="36">
        <f t="shared" si="0"/>
        <v>97687</v>
      </c>
      <c r="M11" s="38">
        <f t="shared" si="0"/>
        <v>97317</v>
      </c>
    </row>
    <row r="12" spans="1:14" s="78" customFormat="1" ht="17.100000000000001" customHeight="1">
      <c r="A12" s="43" t="s">
        <v>22</v>
      </c>
      <c r="B12" s="40" t="s">
        <v>27</v>
      </c>
      <c r="C12" s="41">
        <v>82176.774999999994</v>
      </c>
      <c r="D12" s="41">
        <v>84381.566999999995</v>
      </c>
      <c r="E12" s="41">
        <v>86744.956000000006</v>
      </c>
      <c r="F12" s="41">
        <v>84021.994999999995</v>
      </c>
      <c r="G12" s="41">
        <v>21469.75</v>
      </c>
      <c r="H12" s="41">
        <v>42939.5</v>
      </c>
      <c r="I12" s="41">
        <v>64409.25</v>
      </c>
      <c r="J12" s="77">
        <v>85879</v>
      </c>
      <c r="K12" s="77">
        <v>85514</v>
      </c>
      <c r="L12" s="82">
        <v>85149</v>
      </c>
      <c r="M12" s="82">
        <v>84779</v>
      </c>
      <c r="N12" s="76"/>
    </row>
    <row r="13" spans="1:14" s="12" customFormat="1" ht="17.100000000000001" customHeight="1">
      <c r="A13" s="43" t="s">
        <v>24</v>
      </c>
      <c r="B13" s="40" t="s">
        <v>29</v>
      </c>
      <c r="C13" s="41">
        <v>7445.4350000000004</v>
      </c>
      <c r="D13" s="41">
        <v>7744.0039999999999</v>
      </c>
      <c r="E13" s="41">
        <v>7797.5910000000003</v>
      </c>
      <c r="F13" s="41">
        <v>7588</v>
      </c>
      <c r="G13" s="41">
        <v>1897</v>
      </c>
      <c r="H13" s="41">
        <v>3794</v>
      </c>
      <c r="I13" s="41">
        <v>5691</v>
      </c>
      <c r="J13" s="77">
        <v>7588</v>
      </c>
      <c r="K13" s="77">
        <v>7588</v>
      </c>
      <c r="L13" s="77">
        <v>7588</v>
      </c>
      <c r="M13" s="77">
        <v>7588</v>
      </c>
      <c r="N13" s="93"/>
    </row>
    <row r="14" spans="1:14" s="12" customFormat="1" ht="17.100000000000001" customHeight="1">
      <c r="A14" s="43" t="s">
        <v>26</v>
      </c>
      <c r="B14" s="40" t="s">
        <v>37</v>
      </c>
      <c r="C14" s="41">
        <v>5037.3670000000002</v>
      </c>
      <c r="D14" s="41">
        <v>5062.1440000000002</v>
      </c>
      <c r="E14" s="41">
        <v>4950</v>
      </c>
      <c r="F14" s="41">
        <v>4950</v>
      </c>
      <c r="G14" s="41">
        <v>1237.5</v>
      </c>
      <c r="H14" s="41">
        <v>2475</v>
      </c>
      <c r="I14" s="41">
        <v>3712.5</v>
      </c>
      <c r="J14" s="77">
        <v>4950</v>
      </c>
      <c r="K14" s="77">
        <v>4950</v>
      </c>
      <c r="L14" s="77">
        <v>4950</v>
      </c>
      <c r="M14" s="77">
        <v>4950</v>
      </c>
    </row>
    <row r="15" spans="1:14" ht="17.100000000000001" customHeight="1">
      <c r="A15" s="35">
        <v>2</v>
      </c>
      <c r="B15" s="44" t="s">
        <v>38</v>
      </c>
      <c r="C15" s="45">
        <v>1113.0809999999999</v>
      </c>
      <c r="D15" s="45">
        <v>1113.0809999999999</v>
      </c>
      <c r="E15" s="45">
        <v>1114</v>
      </c>
      <c r="F15" s="45">
        <v>1114</v>
      </c>
      <c r="G15" s="41">
        <v>278.25</v>
      </c>
      <c r="H15" s="41">
        <v>556.5</v>
      </c>
      <c r="I15" s="41">
        <v>834.75</v>
      </c>
      <c r="J15" s="55">
        <v>1113</v>
      </c>
      <c r="K15" s="55">
        <v>1113</v>
      </c>
      <c r="L15" s="55">
        <v>1113</v>
      </c>
      <c r="M15" s="55">
        <v>1113</v>
      </c>
    </row>
    <row r="16" spans="1:14" ht="17.100000000000001" customHeight="1">
      <c r="A16" s="35">
        <v>3</v>
      </c>
      <c r="B16" s="44" t="s">
        <v>39</v>
      </c>
      <c r="C16" s="45"/>
      <c r="D16" s="45"/>
      <c r="E16" s="45"/>
      <c r="F16" s="45"/>
      <c r="G16" s="41"/>
      <c r="H16" s="41"/>
      <c r="I16" s="41"/>
      <c r="J16" s="55"/>
      <c r="K16" s="55"/>
      <c r="L16" s="55"/>
      <c r="M16" s="55"/>
    </row>
    <row r="17" spans="1:13" ht="17.100000000000001" customHeight="1">
      <c r="A17" s="35">
        <v>4</v>
      </c>
      <c r="B17" s="45" t="s">
        <v>40</v>
      </c>
      <c r="C17" s="45">
        <v>8564.6679999999997</v>
      </c>
      <c r="D17" s="45">
        <v>8535.01</v>
      </c>
      <c r="E17" s="45">
        <v>8543</v>
      </c>
      <c r="F17" s="45">
        <v>8543</v>
      </c>
      <c r="G17" s="41">
        <v>2135</v>
      </c>
      <c r="H17" s="41">
        <v>4270</v>
      </c>
      <c r="I17" s="41">
        <v>6405</v>
      </c>
      <c r="J17" s="55">
        <v>8540</v>
      </c>
      <c r="K17" s="55">
        <v>8540</v>
      </c>
      <c r="L17" s="55">
        <v>8540</v>
      </c>
      <c r="M17" s="55">
        <v>8540</v>
      </c>
    </row>
    <row r="18" spans="1:13" ht="17.100000000000001" customHeight="1">
      <c r="A18" s="35">
        <v>5</v>
      </c>
      <c r="B18" s="47" t="s">
        <v>41</v>
      </c>
      <c r="C18" s="47">
        <f t="shared" ref="C18:M18" si="1">C11+C15+C16+C17</f>
        <v>104337.326</v>
      </c>
      <c r="D18" s="47">
        <f t="shared" si="1"/>
        <v>106835.806</v>
      </c>
      <c r="E18" s="47">
        <f t="shared" si="1"/>
        <v>109149.54700000001</v>
      </c>
      <c r="F18" s="47">
        <f t="shared" si="1"/>
        <v>106216.995</v>
      </c>
      <c r="G18" s="69">
        <f t="shared" si="1"/>
        <v>27017.5</v>
      </c>
      <c r="H18" s="69">
        <f t="shared" si="1"/>
        <v>54035</v>
      </c>
      <c r="I18" s="69">
        <f t="shared" si="1"/>
        <v>81052.5</v>
      </c>
      <c r="J18" s="47">
        <f t="shared" si="1"/>
        <v>108070</v>
      </c>
      <c r="K18" s="47">
        <f t="shared" si="1"/>
        <v>107705</v>
      </c>
      <c r="L18" s="47">
        <f t="shared" si="1"/>
        <v>107340</v>
      </c>
      <c r="M18" s="49">
        <f t="shared" si="1"/>
        <v>106970</v>
      </c>
    </row>
    <row r="19" spans="1:13" ht="17.100000000000001" customHeight="1">
      <c r="A19" s="35">
        <v>6</v>
      </c>
      <c r="B19" s="45" t="s">
        <v>42</v>
      </c>
      <c r="C19" s="45">
        <v>4.5179999999999998</v>
      </c>
      <c r="D19" s="45">
        <v>3.6459999999999999</v>
      </c>
      <c r="E19" s="45">
        <v>4.343</v>
      </c>
      <c r="F19" s="45">
        <v>8.1270000000000007</v>
      </c>
      <c r="G19" s="41">
        <v>1</v>
      </c>
      <c r="H19" s="41">
        <v>2</v>
      </c>
      <c r="I19" s="41">
        <v>3</v>
      </c>
      <c r="J19" s="55">
        <v>4</v>
      </c>
      <c r="K19" s="55">
        <v>4</v>
      </c>
      <c r="L19" s="55">
        <v>4</v>
      </c>
      <c r="M19" s="55">
        <v>4</v>
      </c>
    </row>
    <row r="20" spans="1:13" ht="17.100000000000001" customHeight="1">
      <c r="A20" s="35">
        <v>7</v>
      </c>
      <c r="B20" s="45" t="s">
        <v>43</v>
      </c>
      <c r="C20" s="45">
        <v>88079.967999999993</v>
      </c>
      <c r="D20" s="45">
        <v>90032.267999999996</v>
      </c>
      <c r="E20" s="45">
        <v>90432.089000000007</v>
      </c>
      <c r="F20" s="45">
        <v>88823.252999999997</v>
      </c>
      <c r="G20" s="41">
        <v>22761.5</v>
      </c>
      <c r="H20" s="41">
        <v>45523</v>
      </c>
      <c r="I20" s="41">
        <v>68284.5</v>
      </c>
      <c r="J20" s="55">
        <v>91046</v>
      </c>
      <c r="K20" s="55">
        <v>88870</v>
      </c>
      <c r="L20" s="56">
        <v>90045</v>
      </c>
      <c r="M20" s="56">
        <v>91025</v>
      </c>
    </row>
    <row r="21" spans="1:13" ht="17.100000000000001" customHeight="1">
      <c r="A21" s="35">
        <v>8</v>
      </c>
      <c r="B21" s="45" t="s">
        <v>44</v>
      </c>
      <c r="C21" s="45">
        <v>402.428</v>
      </c>
      <c r="D21" s="45">
        <v>440.11200000000002</v>
      </c>
      <c r="E21" s="45">
        <v>505.36799999999999</v>
      </c>
      <c r="F21" s="45">
        <v>543.17899999999997</v>
      </c>
      <c r="G21" s="41">
        <v>125.92400000000001</v>
      </c>
      <c r="H21" s="41">
        <v>251.84800000000001</v>
      </c>
      <c r="I21" s="41">
        <v>377.77200000000005</v>
      </c>
      <c r="J21" s="55">
        <v>503.69600000000003</v>
      </c>
      <c r="K21" s="55">
        <v>510.06</v>
      </c>
      <c r="L21" s="56">
        <v>517.71100000000001</v>
      </c>
      <c r="M21" s="56">
        <v>522.71699999999998</v>
      </c>
    </row>
    <row r="22" spans="1:13" ht="17.100000000000001" customHeight="1">
      <c r="A22" s="35">
        <v>9</v>
      </c>
      <c r="B22" s="45" t="s">
        <v>45</v>
      </c>
      <c r="C22" s="45">
        <v>12256.825000000001</v>
      </c>
      <c r="D22" s="45">
        <v>12222.898999999999</v>
      </c>
      <c r="E22" s="45">
        <v>12759.394</v>
      </c>
      <c r="F22" s="45">
        <v>12125.098</v>
      </c>
      <c r="G22" s="41">
        <v>3148.4662499999999</v>
      </c>
      <c r="H22" s="41">
        <v>6296.9324999999999</v>
      </c>
      <c r="I22" s="41">
        <v>9445.3987500000003</v>
      </c>
      <c r="J22" s="55">
        <v>12593.865</v>
      </c>
      <c r="K22" s="55">
        <v>12402.588</v>
      </c>
      <c r="L22" s="56">
        <v>12120.703</v>
      </c>
      <c r="M22" s="56">
        <v>11932.837</v>
      </c>
    </row>
    <row r="23" spans="1:13" ht="17.100000000000001" customHeight="1">
      <c r="A23" s="35">
        <v>10</v>
      </c>
      <c r="B23" s="45" t="s">
        <v>46</v>
      </c>
      <c r="C23" s="45">
        <v>360.649</v>
      </c>
      <c r="D23" s="45">
        <v>308.13</v>
      </c>
      <c r="E23" s="45">
        <v>383.66899999999998</v>
      </c>
      <c r="F23" s="45">
        <v>378.024</v>
      </c>
      <c r="G23" s="41">
        <v>87.5</v>
      </c>
      <c r="H23" s="41">
        <v>175</v>
      </c>
      <c r="I23" s="41">
        <v>262.5</v>
      </c>
      <c r="J23" s="55">
        <v>350</v>
      </c>
      <c r="K23" s="55">
        <v>350</v>
      </c>
      <c r="L23" s="55">
        <v>350</v>
      </c>
      <c r="M23" s="55">
        <v>350</v>
      </c>
    </row>
    <row r="24" spans="1:13" s="14" customFormat="1" ht="17.100000000000001" customHeight="1">
      <c r="A24" s="35">
        <v>11</v>
      </c>
      <c r="B24" s="45" t="s">
        <v>47</v>
      </c>
      <c r="C24" s="45">
        <v>738.95399999999995</v>
      </c>
      <c r="D24" s="45">
        <v>663.66499999999996</v>
      </c>
      <c r="E24" s="45">
        <v>738</v>
      </c>
      <c r="F24" s="45">
        <v>865.86599999999999</v>
      </c>
      <c r="G24" s="41">
        <v>187.5</v>
      </c>
      <c r="H24" s="41">
        <v>375</v>
      </c>
      <c r="I24" s="41">
        <v>562.5</v>
      </c>
      <c r="J24" s="55">
        <v>750</v>
      </c>
      <c r="K24" s="55">
        <v>745</v>
      </c>
      <c r="L24" s="55">
        <v>692</v>
      </c>
      <c r="M24" s="55">
        <v>698.92</v>
      </c>
    </row>
    <row r="25" spans="1:13" ht="17.100000000000001" customHeight="1">
      <c r="A25" s="35">
        <v>12</v>
      </c>
      <c r="B25" s="45" t="s">
        <v>48</v>
      </c>
      <c r="C25" s="45"/>
      <c r="D25" s="45"/>
      <c r="E25" s="45"/>
      <c r="F25" s="45"/>
      <c r="G25" s="41"/>
      <c r="H25" s="41"/>
      <c r="I25" s="41"/>
      <c r="J25" s="55"/>
      <c r="K25" s="55"/>
      <c r="L25" s="55"/>
      <c r="M25" s="55"/>
    </row>
    <row r="26" spans="1:13" ht="17.100000000000001" customHeight="1">
      <c r="A26" s="35">
        <v>13</v>
      </c>
      <c r="B26" s="47" t="s">
        <v>49</v>
      </c>
      <c r="C26" s="47">
        <f t="shared" ref="C26:M26" si="2">SUM(C19:C25)</f>
        <v>101843.34199999999</v>
      </c>
      <c r="D26" s="47">
        <f>SUM(D19:D25)</f>
        <v>103670.71999999999</v>
      </c>
      <c r="E26" s="47">
        <f>SUM(E19:E25)</f>
        <v>104822.863</v>
      </c>
      <c r="F26" s="47">
        <f t="shared" ref="F26:I26" si="3">SUM(F19:F25)</f>
        <v>102743.54699999999</v>
      </c>
      <c r="G26" s="69">
        <f t="shared" si="3"/>
        <v>26311.89025</v>
      </c>
      <c r="H26" s="69">
        <f t="shared" si="3"/>
        <v>52623.780500000001</v>
      </c>
      <c r="I26" s="69">
        <f t="shared" si="3"/>
        <v>78935.67074999999</v>
      </c>
      <c r="J26" s="50">
        <f t="shared" si="2"/>
        <v>105247.561</v>
      </c>
      <c r="K26" s="50">
        <f t="shared" si="2"/>
        <v>102881.648</v>
      </c>
      <c r="L26" s="51">
        <f t="shared" si="2"/>
        <v>103729.41399999999</v>
      </c>
      <c r="M26" s="51">
        <f t="shared" si="2"/>
        <v>104533.474</v>
      </c>
    </row>
    <row r="27" spans="1:13" ht="17.100000000000001" customHeight="1">
      <c r="A27" s="35">
        <v>14</v>
      </c>
      <c r="B27" s="52" t="s">
        <v>50</v>
      </c>
      <c r="C27" s="52">
        <f>C18-C26</f>
        <v>2493.9840000000113</v>
      </c>
      <c r="D27" s="52">
        <f t="shared" ref="D27:M27" si="4">D18-D26</f>
        <v>3165.0860000000102</v>
      </c>
      <c r="E27" s="52">
        <f t="shared" si="4"/>
        <v>4326.6840000000084</v>
      </c>
      <c r="F27" s="52">
        <f t="shared" si="4"/>
        <v>3473.448000000004</v>
      </c>
      <c r="G27" s="70">
        <f t="shared" si="4"/>
        <v>705.60974999999962</v>
      </c>
      <c r="H27" s="70">
        <f t="shared" si="4"/>
        <v>1411.2194999999992</v>
      </c>
      <c r="I27" s="70">
        <f t="shared" si="4"/>
        <v>2116.8292500000098</v>
      </c>
      <c r="J27" s="52">
        <f t="shared" si="4"/>
        <v>2822.4389999999985</v>
      </c>
      <c r="K27" s="52">
        <f t="shared" si="4"/>
        <v>4823.351999999999</v>
      </c>
      <c r="L27" s="52">
        <f t="shared" si="4"/>
        <v>3610.5860000000102</v>
      </c>
      <c r="M27" s="54">
        <f t="shared" si="4"/>
        <v>2436.525999999998</v>
      </c>
    </row>
    <row r="28" spans="1:13" ht="17.100000000000001" customHeight="1">
      <c r="A28" s="35">
        <v>15</v>
      </c>
      <c r="B28" s="45" t="s">
        <v>51</v>
      </c>
      <c r="C28" s="45"/>
      <c r="D28" s="45"/>
      <c r="E28" s="45"/>
      <c r="F28" s="45"/>
      <c r="G28" s="41"/>
      <c r="H28" s="41"/>
      <c r="I28" s="41"/>
      <c r="J28" s="55"/>
      <c r="K28" s="55"/>
      <c r="L28" s="56"/>
      <c r="M28" s="56"/>
    </row>
    <row r="29" spans="1:13" ht="17.100000000000001" customHeight="1">
      <c r="A29" s="35">
        <v>16</v>
      </c>
      <c r="B29" s="45" t="s">
        <v>52</v>
      </c>
      <c r="C29" s="45">
        <v>1.7090000000000001</v>
      </c>
      <c r="D29" s="45">
        <v>2.4750000000000001</v>
      </c>
      <c r="E29" s="45"/>
      <c r="F29" s="45">
        <v>8.5</v>
      </c>
      <c r="G29" s="41">
        <v>0.25</v>
      </c>
      <c r="H29" s="41">
        <v>0.5</v>
      </c>
      <c r="I29" s="41">
        <v>0.75</v>
      </c>
      <c r="J29" s="45">
        <v>1</v>
      </c>
      <c r="K29" s="45">
        <v>1</v>
      </c>
      <c r="L29" s="45">
        <v>1</v>
      </c>
      <c r="M29" s="44">
        <v>1</v>
      </c>
    </row>
    <row r="30" spans="1:13" ht="17.100000000000001" customHeight="1">
      <c r="A30" s="35">
        <v>17</v>
      </c>
      <c r="B30" s="45" t="s">
        <v>53</v>
      </c>
      <c r="C30" s="45"/>
      <c r="D30" s="45"/>
      <c r="E30" s="45"/>
      <c r="F30" s="45"/>
      <c r="G30" s="41"/>
      <c r="H30" s="41"/>
      <c r="I30" s="41"/>
      <c r="J30" s="45"/>
      <c r="K30" s="45"/>
      <c r="L30" s="45"/>
      <c r="M30" s="44"/>
    </row>
    <row r="31" spans="1:13" ht="17.100000000000001" customHeight="1">
      <c r="A31" s="35">
        <v>18</v>
      </c>
      <c r="B31" s="57" t="s">
        <v>54</v>
      </c>
      <c r="C31" s="57">
        <f>C28+C29-C30</f>
        <v>1.7090000000000001</v>
      </c>
      <c r="D31" s="57">
        <f t="shared" ref="D31:M31" si="5">D28+D29-D30</f>
        <v>2.4750000000000001</v>
      </c>
      <c r="E31" s="57">
        <f t="shared" si="5"/>
        <v>0</v>
      </c>
      <c r="F31" s="57">
        <f t="shared" si="5"/>
        <v>8.5</v>
      </c>
      <c r="G31" s="71">
        <f t="shared" si="5"/>
        <v>0.25</v>
      </c>
      <c r="H31" s="71">
        <f t="shared" si="5"/>
        <v>0.5</v>
      </c>
      <c r="I31" s="71">
        <f t="shared" si="5"/>
        <v>0.75</v>
      </c>
      <c r="J31" s="57">
        <f t="shared" si="5"/>
        <v>1</v>
      </c>
      <c r="K31" s="57">
        <f t="shared" si="5"/>
        <v>1</v>
      </c>
      <c r="L31" s="57">
        <f t="shared" si="5"/>
        <v>1</v>
      </c>
      <c r="M31" s="59">
        <f t="shared" si="5"/>
        <v>1</v>
      </c>
    </row>
    <row r="32" spans="1:13" ht="17.100000000000001" customHeight="1">
      <c r="A32" s="35">
        <v>19</v>
      </c>
      <c r="B32" s="60" t="s">
        <v>55</v>
      </c>
      <c r="C32" s="52">
        <f t="shared" ref="C32:M32" si="6">C27+C31</f>
        <v>2495.6930000000111</v>
      </c>
      <c r="D32" s="52">
        <f t="shared" si="6"/>
        <v>3167.5610000000102</v>
      </c>
      <c r="E32" s="52">
        <f>E27+E31</f>
        <v>4326.6840000000084</v>
      </c>
      <c r="F32" s="52">
        <f t="shared" ref="F32:I32" si="7">F27+F31</f>
        <v>3481.948000000004</v>
      </c>
      <c r="G32" s="70">
        <f t="shared" si="7"/>
        <v>705.85974999999962</v>
      </c>
      <c r="H32" s="70">
        <f t="shared" si="7"/>
        <v>1411.7194999999992</v>
      </c>
      <c r="I32" s="70">
        <f t="shared" si="7"/>
        <v>2117.5792500000098</v>
      </c>
      <c r="J32" s="61">
        <f t="shared" si="6"/>
        <v>2823.4389999999985</v>
      </c>
      <c r="K32" s="61">
        <f t="shared" si="6"/>
        <v>4824.351999999999</v>
      </c>
      <c r="L32" s="62">
        <f t="shared" si="6"/>
        <v>3611.5860000000102</v>
      </c>
      <c r="M32" s="62">
        <f t="shared" si="6"/>
        <v>2437.525999999998</v>
      </c>
    </row>
    <row r="33" spans="1:13" ht="17.100000000000001" customHeight="1">
      <c r="A33" s="35">
        <v>20</v>
      </c>
      <c r="B33" s="4" t="s">
        <v>56</v>
      </c>
      <c r="C33" s="4">
        <v>-1035.096</v>
      </c>
      <c r="D33" s="4"/>
      <c r="E33" s="4"/>
      <c r="F33" s="4"/>
      <c r="G33" s="2"/>
      <c r="H33" s="2"/>
      <c r="I33" s="2"/>
      <c r="J33" s="6"/>
      <c r="K33" s="6"/>
      <c r="L33" s="7"/>
      <c r="M33" s="7"/>
    </row>
    <row r="34" spans="1:13" ht="17.100000000000001" customHeight="1">
      <c r="A34" s="35">
        <v>21</v>
      </c>
      <c r="B34" s="45" t="s">
        <v>57</v>
      </c>
      <c r="C34" s="45"/>
      <c r="D34" s="45">
        <v>4.1000000000000002E-2</v>
      </c>
      <c r="E34" s="45">
        <v>6.6000000000000003E-2</v>
      </c>
      <c r="F34" s="45"/>
      <c r="G34" s="41"/>
      <c r="H34" s="41"/>
      <c r="I34" s="41"/>
      <c r="J34" s="55"/>
      <c r="K34" s="55"/>
      <c r="L34" s="55"/>
      <c r="M34" s="55"/>
    </row>
    <row r="35" spans="1:13" ht="17.100000000000001" customHeight="1">
      <c r="A35" s="63">
        <v>22</v>
      </c>
      <c r="B35" s="64" t="s">
        <v>58</v>
      </c>
      <c r="C35" s="64">
        <f t="shared" ref="C35:M35" si="8">C32+C33-C34</f>
        <v>1460.5970000000111</v>
      </c>
      <c r="D35" s="64">
        <f t="shared" si="8"/>
        <v>3167.52000000001</v>
      </c>
      <c r="E35" s="64">
        <f t="shared" si="8"/>
        <v>4326.6180000000086</v>
      </c>
      <c r="F35" s="64">
        <f t="shared" si="8"/>
        <v>3481.948000000004</v>
      </c>
      <c r="G35" s="72">
        <f t="shared" si="8"/>
        <v>705.85974999999962</v>
      </c>
      <c r="H35" s="72">
        <f t="shared" si="8"/>
        <v>1411.7194999999992</v>
      </c>
      <c r="I35" s="72">
        <f t="shared" si="8"/>
        <v>2117.5792500000098</v>
      </c>
      <c r="J35" s="66">
        <f t="shared" si="8"/>
        <v>2823.4389999999985</v>
      </c>
      <c r="K35" s="66">
        <f t="shared" si="8"/>
        <v>4824.351999999999</v>
      </c>
      <c r="L35" s="67">
        <f t="shared" si="8"/>
        <v>3611.5860000000102</v>
      </c>
      <c r="M35" s="67">
        <f t="shared" si="8"/>
        <v>2437.525999999998</v>
      </c>
    </row>
    <row r="36" spans="1:13">
      <c r="A36" s="88"/>
      <c r="B36" s="88"/>
      <c r="C36" s="88"/>
      <c r="D36" s="88"/>
      <c r="E36" s="88"/>
      <c r="F36" s="88"/>
      <c r="G36" s="88"/>
      <c r="H36" s="88"/>
      <c r="I36" s="88"/>
      <c r="J36" s="88"/>
      <c r="K36" s="88"/>
      <c r="L36" s="88"/>
      <c r="M36" s="88"/>
    </row>
  </sheetData>
  <mergeCells count="13">
    <mergeCell ref="B10:M10"/>
    <mergeCell ref="A1:E3"/>
    <mergeCell ref="J1:M3"/>
    <mergeCell ref="A4:M4"/>
    <mergeCell ref="A5:B5"/>
    <mergeCell ref="C5:M5"/>
    <mergeCell ref="A6:B6"/>
    <mergeCell ref="G6:M6"/>
    <mergeCell ref="A7:B7"/>
    <mergeCell ref="C7:F7"/>
    <mergeCell ref="G7:K7"/>
    <mergeCell ref="L7:M7"/>
    <mergeCell ref="A8:B8"/>
  </mergeCells>
  <pageMargins left="0.51181102362204722" right="0" top="0.39370078740157483" bottom="0.19685039370078741" header="0.31496062992125984" footer="0.31496062992125984"/>
  <pageSetup paperSize="9" scale="70" orientation="landscape" r:id="rId1"/>
  <headerFooter>
    <oddHeader>&amp;RBlatt 2f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Layout" zoomScale="70" zoomScaleNormal="100" zoomScalePageLayoutView="70" workbookViewId="0">
      <selection activeCell="M18" sqref="M18:M24"/>
    </sheetView>
  </sheetViews>
  <sheetFormatPr baseColWidth="10" defaultRowHeight="15"/>
  <cols>
    <col min="1" max="1" width="6.28515625" customWidth="1"/>
    <col min="2" max="2" width="30.28515625" customWidth="1"/>
    <col min="3" max="13" width="12.7109375" customWidth="1"/>
    <col min="14" max="14" width="5.85546875" customWidth="1"/>
    <col min="15" max="15" width="9.42578125" customWidth="1"/>
  </cols>
  <sheetData>
    <row r="1" spans="1:14" ht="15" customHeight="1">
      <c r="A1" s="470" t="s">
        <v>0</v>
      </c>
      <c r="B1" s="470"/>
      <c r="C1" s="470"/>
      <c r="D1" s="470"/>
      <c r="E1" s="471"/>
      <c r="F1" s="500"/>
      <c r="G1" s="500"/>
      <c r="H1" s="500"/>
      <c r="I1" s="500"/>
      <c r="J1" s="500"/>
      <c r="K1" s="502" t="s">
        <v>1</v>
      </c>
      <c r="L1" s="502"/>
      <c r="M1" s="502"/>
      <c r="N1" s="502"/>
    </row>
    <row r="2" spans="1:14">
      <c r="A2" s="470"/>
      <c r="B2" s="470"/>
      <c r="C2" s="470"/>
      <c r="D2" s="470"/>
      <c r="E2" s="471"/>
      <c r="F2" s="500"/>
      <c r="G2" s="500"/>
      <c r="H2" s="500"/>
      <c r="I2" s="500"/>
      <c r="J2" s="500"/>
      <c r="K2" s="502"/>
      <c r="L2" s="502"/>
      <c r="M2" s="502"/>
      <c r="N2" s="502"/>
    </row>
    <row r="3" spans="1:14">
      <c r="A3" s="472"/>
      <c r="B3" s="472"/>
      <c r="C3" s="472"/>
      <c r="D3" s="472"/>
      <c r="E3" s="473"/>
      <c r="F3" s="501"/>
      <c r="G3" s="501"/>
      <c r="H3" s="501"/>
      <c r="I3" s="501"/>
      <c r="J3" s="501"/>
      <c r="K3" s="502"/>
      <c r="L3" s="502"/>
      <c r="M3" s="502"/>
      <c r="N3" s="502"/>
    </row>
    <row r="4" spans="1:14" ht="18">
      <c r="A4" s="477" t="s">
        <v>2</v>
      </c>
      <c r="B4" s="478"/>
      <c r="C4" s="478"/>
      <c r="D4" s="478"/>
      <c r="E4" s="478"/>
      <c r="F4" s="478"/>
      <c r="G4" s="478"/>
      <c r="H4" s="478"/>
      <c r="I4" s="478"/>
      <c r="J4" s="478"/>
      <c r="K4" s="478"/>
      <c r="L4" s="478"/>
      <c r="M4" s="479"/>
    </row>
    <row r="5" spans="1:14" ht="15.75" customHeight="1">
      <c r="A5" s="480" t="s">
        <v>3</v>
      </c>
      <c r="B5" s="481"/>
      <c r="C5" s="482" t="s">
        <v>4</v>
      </c>
      <c r="D5" s="482"/>
      <c r="E5" s="482"/>
      <c r="F5" s="482"/>
      <c r="G5" s="482"/>
      <c r="H5" s="482"/>
      <c r="I5" s="482"/>
      <c r="J5" s="483"/>
      <c r="K5" s="483"/>
      <c r="L5" s="483"/>
      <c r="M5" s="484"/>
    </row>
    <row r="6" spans="1:14" ht="15" customHeight="1">
      <c r="A6" s="480" t="s">
        <v>5</v>
      </c>
      <c r="B6" s="481"/>
      <c r="C6" s="24"/>
      <c r="D6" s="24"/>
      <c r="E6" s="24"/>
      <c r="F6" s="24"/>
      <c r="G6" s="485" t="s">
        <v>6</v>
      </c>
      <c r="H6" s="486"/>
      <c r="I6" s="486"/>
      <c r="J6" s="486"/>
      <c r="K6" s="486"/>
      <c r="L6" s="486"/>
      <c r="M6" s="487"/>
    </row>
    <row r="7" spans="1:14" ht="15" customHeight="1">
      <c r="A7" s="488"/>
      <c r="B7" s="489"/>
      <c r="C7" s="490" t="s">
        <v>77</v>
      </c>
      <c r="D7" s="491"/>
      <c r="E7" s="491"/>
      <c r="F7" s="492"/>
      <c r="G7" s="493" t="s">
        <v>8</v>
      </c>
      <c r="H7" s="494"/>
      <c r="I7" s="495"/>
      <c r="J7" s="495"/>
      <c r="K7" s="496"/>
      <c r="L7" s="493" t="s">
        <v>9</v>
      </c>
      <c r="M7" s="497"/>
    </row>
    <row r="8" spans="1:14">
      <c r="A8" s="498" t="s">
        <v>10</v>
      </c>
      <c r="B8" s="499"/>
      <c r="C8" s="26" t="s">
        <v>11</v>
      </c>
      <c r="D8" s="26" t="s">
        <v>11</v>
      </c>
      <c r="E8" s="26" t="s">
        <v>12</v>
      </c>
      <c r="F8" s="26" t="s">
        <v>13</v>
      </c>
      <c r="G8" s="27" t="s">
        <v>14</v>
      </c>
      <c r="H8" s="27" t="s">
        <v>15</v>
      </c>
      <c r="I8" s="27" t="s">
        <v>16</v>
      </c>
      <c r="J8" s="27" t="s">
        <v>17</v>
      </c>
      <c r="K8" s="26" t="s">
        <v>18</v>
      </c>
      <c r="L8" s="28" t="s">
        <v>18</v>
      </c>
      <c r="M8" s="29" t="s">
        <v>18</v>
      </c>
    </row>
    <row r="9" spans="1:14">
      <c r="A9" s="30"/>
      <c r="B9" s="10"/>
      <c r="C9" s="31">
        <v>2015</v>
      </c>
      <c r="D9" s="31">
        <v>2016</v>
      </c>
      <c r="E9" s="31">
        <v>2017</v>
      </c>
      <c r="F9" s="31">
        <v>2017</v>
      </c>
      <c r="G9" s="32">
        <v>2018</v>
      </c>
      <c r="H9" s="32">
        <v>2018</v>
      </c>
      <c r="I9" s="32">
        <v>2018</v>
      </c>
      <c r="J9" s="32">
        <v>2018</v>
      </c>
      <c r="K9" s="33">
        <v>2019</v>
      </c>
      <c r="L9" s="11">
        <v>2020</v>
      </c>
      <c r="M9" s="33">
        <v>2021</v>
      </c>
    </row>
    <row r="10" spans="1:14" ht="15" customHeight="1">
      <c r="A10" s="34" t="s">
        <v>19</v>
      </c>
      <c r="B10" s="467" t="s">
        <v>20</v>
      </c>
      <c r="C10" s="468"/>
      <c r="D10" s="468"/>
      <c r="E10" s="468"/>
      <c r="F10" s="468"/>
      <c r="G10" s="468"/>
      <c r="H10" s="468"/>
      <c r="I10" s="468"/>
      <c r="J10" s="468"/>
      <c r="K10" s="468"/>
      <c r="L10" s="468"/>
      <c r="M10" s="469"/>
    </row>
    <row r="11" spans="1:14" ht="17.100000000000001" customHeight="1">
      <c r="A11" s="35">
        <v>1</v>
      </c>
      <c r="B11" s="36" t="s">
        <v>21</v>
      </c>
      <c r="C11" s="36">
        <f t="shared" ref="C11:M11" si="0">SUM(C12:C13)</f>
        <v>2018.848</v>
      </c>
      <c r="D11" s="36">
        <f t="shared" si="0"/>
        <v>1982.8910000000001</v>
      </c>
      <c r="E11" s="36">
        <f t="shared" si="0"/>
        <v>2004.633</v>
      </c>
      <c r="F11" s="36">
        <f t="shared" si="0"/>
        <v>2004.633</v>
      </c>
      <c r="G11" s="68">
        <f t="shared" si="0"/>
        <v>499.90825000000001</v>
      </c>
      <c r="H11" s="68">
        <f t="shared" si="0"/>
        <v>999.81650000000002</v>
      </c>
      <c r="I11" s="68">
        <f t="shared" si="0"/>
        <v>1499.7247500000001</v>
      </c>
      <c r="J11" s="36">
        <f t="shared" si="0"/>
        <v>1999.633</v>
      </c>
      <c r="K11" s="36">
        <f t="shared" si="0"/>
        <v>1999.633</v>
      </c>
      <c r="L11" s="36">
        <f t="shared" si="0"/>
        <v>1999.633</v>
      </c>
      <c r="M11" s="38">
        <f t="shared" si="0"/>
        <v>1999.633</v>
      </c>
    </row>
    <row r="12" spans="1:14" s="12" customFormat="1" ht="17.100000000000001" customHeight="1">
      <c r="A12" s="39" t="s">
        <v>22</v>
      </c>
      <c r="B12" s="40" t="s">
        <v>31</v>
      </c>
      <c r="C12" s="41">
        <v>1939.633</v>
      </c>
      <c r="D12" s="41">
        <v>1939.633</v>
      </c>
      <c r="E12" s="41">
        <v>1939.633</v>
      </c>
      <c r="F12" s="41">
        <v>1939.633</v>
      </c>
      <c r="G12" s="41">
        <v>484.90825000000001</v>
      </c>
      <c r="H12" s="41">
        <v>969.81650000000002</v>
      </c>
      <c r="I12" s="41">
        <v>1454.7247500000001</v>
      </c>
      <c r="J12" s="41">
        <v>1939.633</v>
      </c>
      <c r="K12" s="41">
        <v>1939.633</v>
      </c>
      <c r="L12" s="41">
        <v>1939.633</v>
      </c>
      <c r="M12" s="42">
        <v>1939.633</v>
      </c>
    </row>
    <row r="13" spans="1:14" s="12" customFormat="1" ht="17.100000000000001" customHeight="1">
      <c r="A13" s="43" t="s">
        <v>24</v>
      </c>
      <c r="B13" s="40" t="s">
        <v>37</v>
      </c>
      <c r="C13" s="41">
        <v>79.215000000000003</v>
      </c>
      <c r="D13" s="41">
        <v>43.258000000000003</v>
      </c>
      <c r="E13" s="41">
        <v>65</v>
      </c>
      <c r="F13" s="41">
        <v>65</v>
      </c>
      <c r="G13" s="41">
        <v>15</v>
      </c>
      <c r="H13" s="41">
        <v>30</v>
      </c>
      <c r="I13" s="41">
        <v>45</v>
      </c>
      <c r="J13" s="77">
        <v>60</v>
      </c>
      <c r="K13" s="77">
        <v>60</v>
      </c>
      <c r="L13" s="77">
        <v>60</v>
      </c>
      <c r="M13" s="77">
        <v>60</v>
      </c>
    </row>
    <row r="14" spans="1:14" ht="17.100000000000001" customHeight="1">
      <c r="A14" s="35">
        <v>2</v>
      </c>
      <c r="B14" s="44" t="s">
        <v>38</v>
      </c>
      <c r="C14" s="45"/>
      <c r="D14" s="45"/>
      <c r="E14" s="45"/>
      <c r="F14" s="45"/>
      <c r="G14" s="41"/>
      <c r="H14" s="41"/>
      <c r="I14" s="41"/>
      <c r="J14" s="55"/>
      <c r="K14" s="55"/>
      <c r="L14" s="56"/>
      <c r="M14" s="56"/>
    </row>
    <row r="15" spans="1:14" ht="17.100000000000001" customHeight="1">
      <c r="A15" s="35">
        <v>3</v>
      </c>
      <c r="B15" s="44" t="s">
        <v>39</v>
      </c>
      <c r="C15" s="45"/>
      <c r="D15" s="45"/>
      <c r="E15" s="45"/>
      <c r="F15" s="45"/>
      <c r="G15" s="41"/>
      <c r="H15" s="41"/>
      <c r="I15" s="41"/>
      <c r="J15" s="55"/>
      <c r="K15" s="55"/>
      <c r="L15" s="56"/>
      <c r="M15" s="56"/>
    </row>
    <row r="16" spans="1:14" ht="17.100000000000001" customHeight="1">
      <c r="A16" s="35">
        <v>4</v>
      </c>
      <c r="B16" s="45" t="s">
        <v>40</v>
      </c>
      <c r="C16" s="45">
        <v>15.776999999999999</v>
      </c>
      <c r="D16" s="45">
        <v>41.896000000000001</v>
      </c>
      <c r="E16" s="45">
        <v>4.6639999999999997</v>
      </c>
      <c r="F16" s="45">
        <v>19.45</v>
      </c>
      <c r="G16" s="41">
        <v>5</v>
      </c>
      <c r="H16" s="41">
        <v>10</v>
      </c>
      <c r="I16" s="41">
        <v>15</v>
      </c>
      <c r="J16" s="55">
        <v>20</v>
      </c>
      <c r="K16" s="55">
        <v>20</v>
      </c>
      <c r="L16" s="55">
        <v>20</v>
      </c>
      <c r="M16" s="55">
        <v>20</v>
      </c>
    </row>
    <row r="17" spans="1:15" ht="17.100000000000001" customHeight="1">
      <c r="A17" s="35">
        <v>5</v>
      </c>
      <c r="B17" s="47" t="s">
        <v>41</v>
      </c>
      <c r="C17" s="47">
        <f t="shared" ref="C17:M17" si="1">C11+C14+C15+C16</f>
        <v>2034.625</v>
      </c>
      <c r="D17" s="47">
        <f t="shared" si="1"/>
        <v>2024.787</v>
      </c>
      <c r="E17" s="47">
        <f t="shared" si="1"/>
        <v>2009.297</v>
      </c>
      <c r="F17" s="47">
        <f t="shared" si="1"/>
        <v>2024.0830000000001</v>
      </c>
      <c r="G17" s="69">
        <f t="shared" si="1"/>
        <v>504.90825000000001</v>
      </c>
      <c r="H17" s="69">
        <f t="shared" si="1"/>
        <v>1009.8165</v>
      </c>
      <c r="I17" s="69">
        <f t="shared" si="1"/>
        <v>1514.7247500000001</v>
      </c>
      <c r="J17" s="47">
        <f t="shared" si="1"/>
        <v>2019.633</v>
      </c>
      <c r="K17" s="47">
        <f t="shared" si="1"/>
        <v>2019.633</v>
      </c>
      <c r="L17" s="47">
        <f t="shared" si="1"/>
        <v>2019.633</v>
      </c>
      <c r="M17" s="49">
        <f t="shared" si="1"/>
        <v>2019.633</v>
      </c>
    </row>
    <row r="18" spans="1:15" ht="17.100000000000001" customHeight="1">
      <c r="A18" s="35">
        <v>6</v>
      </c>
      <c r="B18" s="45" t="s">
        <v>42</v>
      </c>
      <c r="C18" s="45">
        <v>67.817999999999998</v>
      </c>
      <c r="D18" s="45">
        <v>44.48</v>
      </c>
      <c r="E18" s="45">
        <v>60.314999999999998</v>
      </c>
      <c r="F18" s="45">
        <v>62.938000000000002</v>
      </c>
      <c r="G18" s="41">
        <v>14</v>
      </c>
      <c r="H18" s="41">
        <v>28</v>
      </c>
      <c r="I18" s="41">
        <v>42</v>
      </c>
      <c r="J18" s="55">
        <v>56</v>
      </c>
      <c r="K18" s="55">
        <v>56.56</v>
      </c>
      <c r="L18" s="55">
        <v>57.125600000000006</v>
      </c>
      <c r="M18" s="55">
        <v>57.696856000000004</v>
      </c>
    </row>
    <row r="19" spans="1:15" ht="17.100000000000001" customHeight="1">
      <c r="A19" s="35">
        <v>7</v>
      </c>
      <c r="B19" s="45" t="s">
        <v>43</v>
      </c>
      <c r="C19" s="45">
        <v>124.36</v>
      </c>
      <c r="D19" s="45">
        <v>164.06800000000001</v>
      </c>
      <c r="E19" s="45">
        <v>138.91</v>
      </c>
      <c r="F19" s="45">
        <v>147.58099999999999</v>
      </c>
      <c r="G19" s="41">
        <v>50</v>
      </c>
      <c r="H19" s="41">
        <v>100</v>
      </c>
      <c r="I19" s="41">
        <v>150</v>
      </c>
      <c r="J19" s="55">
        <v>200</v>
      </c>
      <c r="K19" s="55">
        <v>127</v>
      </c>
      <c r="L19" s="55">
        <v>128.27000000000001</v>
      </c>
      <c r="M19" s="55">
        <v>129.55270000000002</v>
      </c>
      <c r="N19" s="13"/>
      <c r="O19" s="94"/>
    </row>
    <row r="20" spans="1:15" ht="17.100000000000001" customHeight="1">
      <c r="A20" s="35">
        <v>8</v>
      </c>
      <c r="B20" s="45" t="s">
        <v>44</v>
      </c>
      <c r="C20" s="45">
        <v>3447.68</v>
      </c>
      <c r="D20" s="45">
        <v>3477.3820000000001</v>
      </c>
      <c r="E20" s="45">
        <v>3467.1855686540298</v>
      </c>
      <c r="F20" s="45">
        <v>3706.3789999999999</v>
      </c>
      <c r="G20" s="41">
        <v>868.83267658985255</v>
      </c>
      <c r="H20" s="41">
        <v>1737.6653531797051</v>
      </c>
      <c r="I20" s="41">
        <v>2606.4980297695574</v>
      </c>
      <c r="J20" s="55">
        <v>3475.3307063594102</v>
      </c>
      <c r="K20" s="55">
        <v>3525.6829409666002</v>
      </c>
      <c r="L20" s="56">
        <v>3578.5681850811002</v>
      </c>
      <c r="M20" s="56">
        <v>3634.3563112096199</v>
      </c>
      <c r="N20" s="95"/>
      <c r="O20" s="94"/>
    </row>
    <row r="21" spans="1:15" ht="17.100000000000001" customHeight="1">
      <c r="A21" s="35">
        <v>9</v>
      </c>
      <c r="B21" s="45" t="s">
        <v>45</v>
      </c>
      <c r="C21" s="45">
        <v>135.184</v>
      </c>
      <c r="D21" s="45">
        <v>103.95699999999999</v>
      </c>
      <c r="E21" s="45">
        <v>148.88499999999999</v>
      </c>
      <c r="F21" s="45">
        <v>148.88499999999999</v>
      </c>
      <c r="G21" s="41">
        <v>36.856000000000002</v>
      </c>
      <c r="H21" s="41">
        <v>73.712000000000003</v>
      </c>
      <c r="I21" s="41">
        <v>110.56800000000001</v>
      </c>
      <c r="J21" s="55">
        <v>147.42400000000001</v>
      </c>
      <c r="K21" s="55">
        <v>125.438</v>
      </c>
      <c r="L21" s="55">
        <v>125.438</v>
      </c>
      <c r="M21" s="55">
        <v>115</v>
      </c>
      <c r="N21" s="95"/>
    </row>
    <row r="22" spans="1:15" ht="17.100000000000001" customHeight="1">
      <c r="A22" s="35">
        <v>10</v>
      </c>
      <c r="B22" s="45" t="s">
        <v>46</v>
      </c>
      <c r="C22" s="45">
        <v>1985.1369999999999</v>
      </c>
      <c r="D22" s="45">
        <v>1820.347</v>
      </c>
      <c r="E22" s="45">
        <v>2150</v>
      </c>
      <c r="F22" s="45">
        <v>2384.4940000000001</v>
      </c>
      <c r="G22" s="41">
        <v>562.5</v>
      </c>
      <c r="H22" s="41">
        <v>1125</v>
      </c>
      <c r="I22" s="41">
        <v>1687.5</v>
      </c>
      <c r="J22" s="55">
        <v>2250</v>
      </c>
      <c r="K22" s="55">
        <v>2000</v>
      </c>
      <c r="L22" s="55">
        <v>1959</v>
      </c>
      <c r="M22" s="55">
        <v>1979.5</v>
      </c>
    </row>
    <row r="23" spans="1:15" s="14" customFormat="1" ht="17.100000000000001" customHeight="1">
      <c r="A23" s="35">
        <v>11</v>
      </c>
      <c r="B23" s="45" t="s">
        <v>47</v>
      </c>
      <c r="C23" s="45">
        <v>-3878.9160000000002</v>
      </c>
      <c r="D23" s="45">
        <v>-3788.5740000000001</v>
      </c>
      <c r="E23" s="45">
        <v>-4045</v>
      </c>
      <c r="F23" s="45">
        <v>-4517.42</v>
      </c>
      <c r="G23" s="41">
        <v>-1052.75</v>
      </c>
      <c r="H23" s="41">
        <v>-2105.5</v>
      </c>
      <c r="I23" s="41">
        <v>-3158.25</v>
      </c>
      <c r="J23" s="55">
        <v>-4211</v>
      </c>
      <c r="K23" s="55">
        <v>-3917</v>
      </c>
      <c r="L23" s="56">
        <v>-3931</v>
      </c>
      <c r="M23" s="56">
        <v>-3998</v>
      </c>
    </row>
    <row r="24" spans="1:15" ht="17.100000000000001" customHeight="1">
      <c r="A24" s="35">
        <v>12</v>
      </c>
      <c r="B24" s="45" t="s">
        <v>48</v>
      </c>
      <c r="C24" s="45">
        <v>118.483</v>
      </c>
      <c r="D24" s="45">
        <v>120.117</v>
      </c>
      <c r="E24" s="45">
        <v>107.328</v>
      </c>
      <c r="F24" s="45">
        <v>106.672</v>
      </c>
      <c r="G24" s="41">
        <v>30</v>
      </c>
      <c r="H24" s="41">
        <v>60</v>
      </c>
      <c r="I24" s="41">
        <v>90</v>
      </c>
      <c r="J24" s="55">
        <v>120</v>
      </c>
      <c r="K24" s="55">
        <v>120</v>
      </c>
      <c r="L24" s="55">
        <v>120</v>
      </c>
      <c r="M24" s="55">
        <v>120</v>
      </c>
    </row>
    <row r="25" spans="1:15" ht="17.100000000000001" customHeight="1">
      <c r="A25" s="35">
        <v>13</v>
      </c>
      <c r="B25" s="47" t="s">
        <v>49</v>
      </c>
      <c r="C25" s="47">
        <f t="shared" ref="C25:M25" si="2">SUM(C18:C24)</f>
        <v>1999.7459999999999</v>
      </c>
      <c r="D25" s="47">
        <f>SUM(D18:D24)</f>
        <v>1941.7770000000003</v>
      </c>
      <c r="E25" s="47">
        <f>SUM(E18:E24)</f>
        <v>2027.6235686540299</v>
      </c>
      <c r="F25" s="47">
        <f t="shared" ref="F25:I25" si="3">SUM(F18:F24)</f>
        <v>2039.529</v>
      </c>
      <c r="G25" s="69">
        <f t="shared" si="3"/>
        <v>509.43867658985255</v>
      </c>
      <c r="H25" s="69">
        <f t="shared" si="3"/>
        <v>1018.8773531797051</v>
      </c>
      <c r="I25" s="69">
        <f t="shared" si="3"/>
        <v>1528.3160297695576</v>
      </c>
      <c r="J25" s="50">
        <f t="shared" si="2"/>
        <v>2037.7547063594102</v>
      </c>
      <c r="K25" s="50">
        <f t="shared" si="2"/>
        <v>2037.6809409666002</v>
      </c>
      <c r="L25" s="51">
        <f t="shared" si="2"/>
        <v>2037.4017850810997</v>
      </c>
      <c r="M25" s="51">
        <f t="shared" si="2"/>
        <v>2038.1058672096206</v>
      </c>
    </row>
    <row r="26" spans="1:15" ht="17.100000000000001" customHeight="1">
      <c r="A26" s="35">
        <v>14</v>
      </c>
      <c r="B26" s="52" t="s">
        <v>50</v>
      </c>
      <c r="C26" s="52">
        <f>C17-C25</f>
        <v>34.879000000000133</v>
      </c>
      <c r="D26" s="52">
        <f t="shared" ref="D26:M26" si="4">D17-D25</f>
        <v>83.009999999999764</v>
      </c>
      <c r="E26" s="52">
        <f t="shared" si="4"/>
        <v>-18.32656865402987</v>
      </c>
      <c r="F26" s="52">
        <f t="shared" si="4"/>
        <v>-15.445999999999913</v>
      </c>
      <c r="G26" s="70">
        <f t="shared" si="4"/>
        <v>-4.5304265898525387</v>
      </c>
      <c r="H26" s="70">
        <f t="shared" si="4"/>
        <v>-9.0608531797050773</v>
      </c>
      <c r="I26" s="70">
        <f t="shared" si="4"/>
        <v>-13.591279769557559</v>
      </c>
      <c r="J26" s="52">
        <f t="shared" si="4"/>
        <v>-18.121706359410155</v>
      </c>
      <c r="K26" s="52">
        <f t="shared" si="4"/>
        <v>-18.047940966600208</v>
      </c>
      <c r="L26" s="52">
        <f t="shared" si="4"/>
        <v>-17.768785081099622</v>
      </c>
      <c r="M26" s="54">
        <f t="shared" si="4"/>
        <v>-18.472867209620517</v>
      </c>
    </row>
    <row r="27" spans="1:15" ht="17.100000000000001" customHeight="1">
      <c r="A27" s="35">
        <v>15</v>
      </c>
      <c r="B27" s="45" t="s">
        <v>51</v>
      </c>
      <c r="C27" s="45"/>
      <c r="D27" s="45"/>
      <c r="E27" s="45"/>
      <c r="F27" s="45"/>
      <c r="G27" s="41"/>
      <c r="H27" s="41"/>
      <c r="I27" s="41"/>
      <c r="J27" s="55"/>
      <c r="K27" s="55"/>
      <c r="L27" s="56"/>
      <c r="M27" s="56"/>
    </row>
    <row r="28" spans="1:15" ht="17.100000000000001" customHeight="1">
      <c r="A28" s="35">
        <v>16</v>
      </c>
      <c r="B28" s="45" t="s">
        <v>52</v>
      </c>
      <c r="C28" s="45"/>
      <c r="D28" s="45"/>
      <c r="E28" s="45"/>
      <c r="F28" s="45"/>
      <c r="G28" s="41"/>
      <c r="H28" s="41"/>
      <c r="I28" s="41"/>
      <c r="J28" s="55"/>
      <c r="K28" s="55"/>
      <c r="L28" s="56"/>
      <c r="M28" s="56"/>
    </row>
    <row r="29" spans="1:15" ht="17.100000000000001" customHeight="1">
      <c r="A29" s="35">
        <v>17</v>
      </c>
      <c r="B29" s="45" t="s">
        <v>53</v>
      </c>
      <c r="C29" s="45">
        <v>25.084</v>
      </c>
      <c r="D29" s="45">
        <v>13.265000000000001</v>
      </c>
      <c r="E29" s="45">
        <v>37</v>
      </c>
      <c r="F29" s="45">
        <v>37</v>
      </c>
      <c r="G29" s="41">
        <v>5</v>
      </c>
      <c r="H29" s="41">
        <v>10</v>
      </c>
      <c r="I29" s="41">
        <v>15</v>
      </c>
      <c r="J29" s="55">
        <v>20</v>
      </c>
      <c r="K29" s="55">
        <v>20</v>
      </c>
      <c r="L29" s="55">
        <v>20</v>
      </c>
      <c r="M29" s="55">
        <v>20</v>
      </c>
    </row>
    <row r="30" spans="1:15" ht="17.100000000000001" customHeight="1">
      <c r="A30" s="35">
        <v>18</v>
      </c>
      <c r="B30" s="57" t="s">
        <v>54</v>
      </c>
      <c r="C30" s="57">
        <f>C27+C28-C29</f>
        <v>-25.084</v>
      </c>
      <c r="D30" s="57">
        <f t="shared" ref="D30:M30" si="5">D27+D28-D29</f>
        <v>-13.265000000000001</v>
      </c>
      <c r="E30" s="57">
        <f t="shared" si="5"/>
        <v>-37</v>
      </c>
      <c r="F30" s="57">
        <f t="shared" si="5"/>
        <v>-37</v>
      </c>
      <c r="G30" s="71">
        <f t="shared" si="5"/>
        <v>-5</v>
      </c>
      <c r="H30" s="71">
        <f t="shared" si="5"/>
        <v>-10</v>
      </c>
      <c r="I30" s="71">
        <f t="shared" si="5"/>
        <v>-15</v>
      </c>
      <c r="J30" s="57">
        <f t="shared" si="5"/>
        <v>-20</v>
      </c>
      <c r="K30" s="57">
        <f t="shared" si="5"/>
        <v>-20</v>
      </c>
      <c r="L30" s="57">
        <f t="shared" si="5"/>
        <v>-20</v>
      </c>
      <c r="M30" s="59">
        <f t="shared" si="5"/>
        <v>-20</v>
      </c>
    </row>
    <row r="31" spans="1:15" ht="17.100000000000001" customHeight="1">
      <c r="A31" s="35">
        <v>19</v>
      </c>
      <c r="B31" s="60" t="s">
        <v>55</v>
      </c>
      <c r="C31" s="52">
        <f t="shared" ref="C31:M31" si="6">C26+C30</f>
        <v>9.7950000000001332</v>
      </c>
      <c r="D31" s="52">
        <f t="shared" si="6"/>
        <v>69.744999999999763</v>
      </c>
      <c r="E31" s="52">
        <f>E26+E30</f>
        <v>-55.32656865402987</v>
      </c>
      <c r="F31" s="52">
        <f t="shared" ref="F31:I31" si="7">F26+F30</f>
        <v>-52.445999999999913</v>
      </c>
      <c r="G31" s="70">
        <f t="shared" si="7"/>
        <v>-9.5304265898525387</v>
      </c>
      <c r="H31" s="70">
        <f t="shared" si="7"/>
        <v>-19.060853179705077</v>
      </c>
      <c r="I31" s="70">
        <f t="shared" si="7"/>
        <v>-28.591279769557559</v>
      </c>
      <c r="J31" s="61">
        <f t="shared" si="6"/>
        <v>-38.121706359410155</v>
      </c>
      <c r="K31" s="61">
        <f t="shared" si="6"/>
        <v>-38.047940966600208</v>
      </c>
      <c r="L31" s="62">
        <f t="shared" si="6"/>
        <v>-37.768785081099622</v>
      </c>
      <c r="M31" s="62">
        <f t="shared" si="6"/>
        <v>-38.472867209620517</v>
      </c>
    </row>
    <row r="32" spans="1:15" ht="17.100000000000001" customHeight="1">
      <c r="A32" s="35">
        <v>20</v>
      </c>
      <c r="B32" s="4" t="s">
        <v>56</v>
      </c>
      <c r="C32" s="4"/>
      <c r="D32" s="4"/>
      <c r="E32" s="4">
        <v>68.144000000000005</v>
      </c>
      <c r="F32" s="4">
        <v>65.495999999999995</v>
      </c>
      <c r="G32" s="41">
        <v>17.036000000000001</v>
      </c>
      <c r="H32" s="41">
        <v>34.072000000000003</v>
      </c>
      <c r="I32" s="41">
        <v>51.108000000000004</v>
      </c>
      <c r="J32" s="4">
        <v>68.144000000000005</v>
      </c>
      <c r="K32" s="4">
        <v>68.144000000000005</v>
      </c>
      <c r="L32" s="4">
        <v>68.144000000000005</v>
      </c>
      <c r="M32" s="3">
        <v>68.144000000000005</v>
      </c>
    </row>
    <row r="33" spans="1:13" ht="17.100000000000001" customHeight="1">
      <c r="A33" s="35">
        <v>21</v>
      </c>
      <c r="B33" s="45" t="s">
        <v>57</v>
      </c>
      <c r="C33" s="45">
        <v>9.7959999999999994</v>
      </c>
      <c r="D33" s="45">
        <v>69.742999999999995</v>
      </c>
      <c r="E33" s="45">
        <v>12.746</v>
      </c>
      <c r="F33" s="45">
        <v>12.75</v>
      </c>
      <c r="G33" s="41">
        <v>7.5</v>
      </c>
      <c r="H33" s="41">
        <v>15</v>
      </c>
      <c r="I33" s="41">
        <v>22.5</v>
      </c>
      <c r="J33" s="55">
        <v>30</v>
      </c>
      <c r="K33" s="55">
        <v>30</v>
      </c>
      <c r="L33" s="55">
        <v>30</v>
      </c>
      <c r="M33" s="55">
        <v>30</v>
      </c>
    </row>
    <row r="34" spans="1:13" ht="17.100000000000001" customHeight="1">
      <c r="A34" s="63">
        <v>22</v>
      </c>
      <c r="B34" s="64" t="s">
        <v>58</v>
      </c>
      <c r="C34" s="64">
        <f t="shared" ref="C34:M34" si="8">C31+C32-C33</f>
        <v>-9.9999999986621901E-4</v>
      </c>
      <c r="D34" s="64">
        <f t="shared" si="8"/>
        <v>1.9999999997679652E-3</v>
      </c>
      <c r="E34" s="64">
        <f t="shared" si="8"/>
        <v>7.1431345970134785E-2</v>
      </c>
      <c r="F34" s="64">
        <f t="shared" si="8"/>
        <v>0.30000000000008242</v>
      </c>
      <c r="G34" s="72">
        <f t="shared" si="8"/>
        <v>5.5734101474627096E-3</v>
      </c>
      <c r="H34" s="72">
        <f t="shared" si="8"/>
        <v>1.1146820294925419E-2</v>
      </c>
      <c r="I34" s="72">
        <f t="shared" si="8"/>
        <v>1.6720230442444972E-2</v>
      </c>
      <c r="J34" s="66">
        <f t="shared" si="8"/>
        <v>2.2293640589850838E-2</v>
      </c>
      <c r="K34" s="66">
        <f t="shared" si="8"/>
        <v>9.6059033399797045E-2</v>
      </c>
      <c r="L34" s="67">
        <f t="shared" si="8"/>
        <v>0.37521491890038305</v>
      </c>
      <c r="M34" s="67">
        <f t="shared" si="8"/>
        <v>-0.32886720962051186</v>
      </c>
    </row>
  </sheetData>
  <mergeCells count="14">
    <mergeCell ref="B10:M10"/>
    <mergeCell ref="A1:E3"/>
    <mergeCell ref="A4:M4"/>
    <mergeCell ref="A5:B5"/>
    <mergeCell ref="C5:M5"/>
    <mergeCell ref="A6:B6"/>
    <mergeCell ref="G6:M6"/>
    <mergeCell ref="F1:J3"/>
    <mergeCell ref="K1:N3"/>
    <mergeCell ref="A7:B7"/>
    <mergeCell ref="C7:F7"/>
    <mergeCell ref="G7:K7"/>
    <mergeCell ref="L7:M7"/>
    <mergeCell ref="A8:B8"/>
  </mergeCells>
  <pageMargins left="0.51181102362204722" right="0" top="0.39370078740157483" bottom="0.19685039370078741" header="0.31496062992125984" footer="0.31496062992125984"/>
  <pageSetup paperSize="9" scale="70" orientation="landscape" r:id="rId1"/>
  <headerFooter>
    <oddHeader>&amp;RBlatt 2g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view="pageLayout" zoomScale="70" zoomScaleNormal="100" zoomScalePageLayoutView="70" workbookViewId="0">
      <selection activeCell="M17" sqref="M17:M22"/>
    </sheetView>
  </sheetViews>
  <sheetFormatPr baseColWidth="10" defaultRowHeight="15"/>
  <cols>
    <col min="1" max="1" width="6.28515625" customWidth="1"/>
    <col min="2" max="2" width="30.28515625" customWidth="1"/>
    <col min="3" max="13" width="12.7109375" customWidth="1"/>
    <col min="14" max="14" width="8.85546875" customWidth="1"/>
    <col min="15" max="15" width="6.140625" bestFit="1" customWidth="1"/>
    <col min="16" max="18" width="7" bestFit="1" customWidth="1"/>
  </cols>
  <sheetData>
    <row r="1" spans="1:14" ht="15" customHeight="1">
      <c r="A1" s="470" t="s">
        <v>0</v>
      </c>
      <c r="B1" s="470"/>
      <c r="C1" s="470"/>
      <c r="D1" s="470"/>
      <c r="E1" s="471"/>
      <c r="F1" s="8"/>
      <c r="G1" s="8"/>
      <c r="H1" s="8"/>
      <c r="I1" s="8"/>
      <c r="J1" s="474" t="s">
        <v>1</v>
      </c>
      <c r="K1" s="475"/>
      <c r="L1" s="475"/>
      <c r="M1" s="475"/>
      <c r="N1" s="9"/>
    </row>
    <row r="2" spans="1:14">
      <c r="A2" s="470"/>
      <c r="B2" s="470"/>
      <c r="C2" s="470"/>
      <c r="D2" s="470"/>
      <c r="E2" s="471"/>
      <c r="F2" s="8"/>
      <c r="G2" s="8"/>
      <c r="H2" s="8"/>
      <c r="I2" s="8"/>
      <c r="J2" s="475"/>
      <c r="K2" s="475"/>
      <c r="L2" s="475"/>
      <c r="M2" s="475"/>
      <c r="N2" s="9"/>
    </row>
    <row r="3" spans="1:14">
      <c r="A3" s="472"/>
      <c r="B3" s="472"/>
      <c r="C3" s="472"/>
      <c r="D3" s="472"/>
      <c r="E3" s="473"/>
      <c r="F3" s="23"/>
      <c r="G3" s="23"/>
      <c r="H3" s="23"/>
      <c r="I3" s="23"/>
      <c r="J3" s="476"/>
      <c r="K3" s="476"/>
      <c r="L3" s="476"/>
      <c r="M3" s="476"/>
      <c r="N3" s="9"/>
    </row>
    <row r="4" spans="1:14" ht="18">
      <c r="A4" s="477" t="s">
        <v>2</v>
      </c>
      <c r="B4" s="478"/>
      <c r="C4" s="478"/>
      <c r="D4" s="478"/>
      <c r="E4" s="478"/>
      <c r="F4" s="478"/>
      <c r="G4" s="478"/>
      <c r="H4" s="478"/>
      <c r="I4" s="478"/>
      <c r="J4" s="478"/>
      <c r="K4" s="478"/>
      <c r="L4" s="478"/>
      <c r="M4" s="479"/>
    </row>
    <row r="5" spans="1:14" ht="15.75" customHeight="1">
      <c r="A5" s="480" t="s">
        <v>3</v>
      </c>
      <c r="B5" s="481"/>
      <c r="C5" s="482" t="s">
        <v>4</v>
      </c>
      <c r="D5" s="482"/>
      <c r="E5" s="482"/>
      <c r="F5" s="482"/>
      <c r="G5" s="482"/>
      <c r="H5" s="482"/>
      <c r="I5" s="482"/>
      <c r="J5" s="483"/>
      <c r="K5" s="483"/>
      <c r="L5" s="483"/>
      <c r="M5" s="484"/>
    </row>
    <row r="6" spans="1:14" ht="15" customHeight="1">
      <c r="A6" s="480" t="s">
        <v>5</v>
      </c>
      <c r="B6" s="481"/>
      <c r="C6" s="24"/>
      <c r="D6" s="24"/>
      <c r="E6" s="24"/>
      <c r="F6" s="24"/>
      <c r="G6" s="485" t="s">
        <v>6</v>
      </c>
      <c r="H6" s="486"/>
      <c r="I6" s="486"/>
      <c r="J6" s="486"/>
      <c r="K6" s="486"/>
      <c r="L6" s="486"/>
      <c r="M6" s="487"/>
    </row>
    <row r="7" spans="1:14" ht="15" customHeight="1">
      <c r="A7" s="488"/>
      <c r="B7" s="489"/>
      <c r="C7" s="490" t="s">
        <v>78</v>
      </c>
      <c r="D7" s="491"/>
      <c r="E7" s="491"/>
      <c r="F7" s="492"/>
      <c r="G7" s="493" t="s">
        <v>8</v>
      </c>
      <c r="H7" s="494"/>
      <c r="I7" s="495"/>
      <c r="J7" s="495"/>
      <c r="K7" s="496"/>
      <c r="L7" s="493" t="s">
        <v>9</v>
      </c>
      <c r="M7" s="497"/>
    </row>
    <row r="8" spans="1:14">
      <c r="A8" s="498" t="s">
        <v>10</v>
      </c>
      <c r="B8" s="499"/>
      <c r="C8" s="26" t="s">
        <v>11</v>
      </c>
      <c r="D8" s="26" t="s">
        <v>11</v>
      </c>
      <c r="E8" s="26" t="s">
        <v>12</v>
      </c>
      <c r="F8" s="26" t="s">
        <v>13</v>
      </c>
      <c r="G8" s="27" t="s">
        <v>14</v>
      </c>
      <c r="H8" s="27" t="s">
        <v>15</v>
      </c>
      <c r="I8" s="27" t="s">
        <v>16</v>
      </c>
      <c r="J8" s="27" t="s">
        <v>17</v>
      </c>
      <c r="K8" s="26" t="s">
        <v>18</v>
      </c>
      <c r="L8" s="28" t="s">
        <v>18</v>
      </c>
      <c r="M8" s="29" t="s">
        <v>18</v>
      </c>
    </row>
    <row r="9" spans="1:14">
      <c r="A9" s="30"/>
      <c r="B9" s="10"/>
      <c r="C9" s="31">
        <v>2015</v>
      </c>
      <c r="D9" s="31">
        <v>2016</v>
      </c>
      <c r="E9" s="31">
        <v>2017</v>
      </c>
      <c r="F9" s="31">
        <v>2017</v>
      </c>
      <c r="G9" s="32">
        <v>2018</v>
      </c>
      <c r="H9" s="32">
        <v>2018</v>
      </c>
      <c r="I9" s="32">
        <v>2018</v>
      </c>
      <c r="J9" s="32">
        <v>2018</v>
      </c>
      <c r="K9" s="33">
        <v>2019</v>
      </c>
      <c r="L9" s="11">
        <v>2020</v>
      </c>
      <c r="M9" s="33">
        <v>2021</v>
      </c>
    </row>
    <row r="10" spans="1:14" ht="15" customHeight="1">
      <c r="A10" s="34" t="s">
        <v>19</v>
      </c>
      <c r="B10" s="467" t="s">
        <v>20</v>
      </c>
      <c r="C10" s="468"/>
      <c r="D10" s="468"/>
      <c r="E10" s="468"/>
      <c r="F10" s="468"/>
      <c r="G10" s="468"/>
      <c r="H10" s="468"/>
      <c r="I10" s="468"/>
      <c r="J10" s="468"/>
      <c r="K10" s="468"/>
      <c r="L10" s="468"/>
      <c r="M10" s="469"/>
    </row>
    <row r="11" spans="1:14" ht="17.100000000000001" customHeight="1">
      <c r="A11" s="35">
        <v>1</v>
      </c>
      <c r="B11" s="36" t="s">
        <v>79</v>
      </c>
      <c r="C11" s="36"/>
      <c r="D11" s="36"/>
      <c r="E11" s="36"/>
      <c r="F11" s="36"/>
      <c r="G11" s="37"/>
      <c r="H11" s="37"/>
      <c r="I11" s="37"/>
      <c r="J11" s="36"/>
      <c r="K11" s="36"/>
      <c r="L11" s="36"/>
      <c r="M11" s="38"/>
    </row>
    <row r="12" spans="1:14" ht="17.100000000000001" customHeight="1">
      <c r="A12" s="35">
        <v>2</v>
      </c>
      <c r="B12" s="44" t="s">
        <v>38</v>
      </c>
      <c r="C12" s="45"/>
      <c r="D12" s="45"/>
      <c r="E12" s="45"/>
      <c r="F12" s="45"/>
      <c r="G12" s="46"/>
      <c r="H12" s="46"/>
      <c r="I12" s="46"/>
      <c r="J12" s="55"/>
      <c r="K12" s="55"/>
      <c r="L12" s="56"/>
      <c r="M12" s="56"/>
    </row>
    <row r="13" spans="1:14" ht="17.100000000000001" customHeight="1">
      <c r="A13" s="35">
        <v>3</v>
      </c>
      <c r="B13" s="44" t="s">
        <v>39</v>
      </c>
      <c r="C13" s="45"/>
      <c r="D13" s="45"/>
      <c r="E13" s="45"/>
      <c r="F13" s="45"/>
      <c r="G13" s="46"/>
      <c r="H13" s="46"/>
      <c r="I13" s="46"/>
      <c r="J13" s="55"/>
      <c r="K13" s="55"/>
      <c r="L13" s="56"/>
      <c r="M13" s="56"/>
    </row>
    <row r="14" spans="1:14" ht="17.100000000000001" customHeight="1">
      <c r="A14" s="35">
        <v>4</v>
      </c>
      <c r="B14" s="45" t="s">
        <v>40</v>
      </c>
      <c r="C14" s="45">
        <v>983.08456000000001</v>
      </c>
      <c r="D14" s="45"/>
      <c r="E14" s="45">
        <v>1792.894</v>
      </c>
      <c r="F14" s="45">
        <v>2312.413</v>
      </c>
      <c r="G14" s="41">
        <v>1804.5595000000001</v>
      </c>
      <c r="H14" s="41">
        <v>3609.1190000000001</v>
      </c>
      <c r="I14" s="41">
        <v>5413.6785</v>
      </c>
      <c r="J14" s="55">
        <v>7810.5010000000002</v>
      </c>
      <c r="K14" s="55"/>
      <c r="L14" s="56">
        <v>1407.579</v>
      </c>
      <c r="M14" s="56">
        <v>1206.49</v>
      </c>
    </row>
    <row r="15" spans="1:14" ht="17.100000000000001" customHeight="1">
      <c r="A15" s="35">
        <v>5</v>
      </c>
      <c r="B15" s="47" t="s">
        <v>41</v>
      </c>
      <c r="C15" s="47">
        <f>SUM(C11:C14)</f>
        <v>983.08456000000001</v>
      </c>
      <c r="D15" s="47">
        <f t="shared" ref="D15:M15" si="0">SUM(D11:D14)</f>
        <v>0</v>
      </c>
      <c r="E15" s="47">
        <f t="shared" si="0"/>
        <v>1792.894</v>
      </c>
      <c r="F15" s="47">
        <f t="shared" si="0"/>
        <v>2312.413</v>
      </c>
      <c r="G15" s="48">
        <f t="shared" si="0"/>
        <v>1804.5595000000001</v>
      </c>
      <c r="H15" s="48">
        <f t="shared" si="0"/>
        <v>3609.1190000000001</v>
      </c>
      <c r="I15" s="48">
        <f t="shared" si="0"/>
        <v>5413.6785</v>
      </c>
      <c r="J15" s="47">
        <f t="shared" si="0"/>
        <v>7810.5010000000002</v>
      </c>
      <c r="K15" s="47">
        <f t="shared" si="0"/>
        <v>0</v>
      </c>
      <c r="L15" s="47">
        <f t="shared" si="0"/>
        <v>1407.579</v>
      </c>
      <c r="M15" s="49">
        <f t="shared" si="0"/>
        <v>1206.49</v>
      </c>
      <c r="N15" s="13"/>
    </row>
    <row r="16" spans="1:14" ht="17.100000000000001" customHeight="1">
      <c r="A16" s="35">
        <v>6</v>
      </c>
      <c r="B16" s="45" t="s">
        <v>42</v>
      </c>
      <c r="C16" s="45"/>
      <c r="D16" s="45"/>
      <c r="E16" s="45"/>
      <c r="F16" s="45"/>
      <c r="G16" s="46"/>
      <c r="H16" s="46"/>
      <c r="I16" s="46"/>
      <c r="J16" s="55"/>
      <c r="K16" s="55"/>
      <c r="L16" s="56"/>
      <c r="M16" s="56"/>
      <c r="N16" s="13"/>
    </row>
    <row r="17" spans="1:18" ht="17.100000000000001" customHeight="1">
      <c r="A17" s="35">
        <v>7</v>
      </c>
      <c r="B17" s="45" t="s">
        <v>43</v>
      </c>
      <c r="C17" s="45">
        <v>87.112499999999997</v>
      </c>
      <c r="D17" s="45">
        <v>28.448</v>
      </c>
      <c r="E17" s="45">
        <v>185.4</v>
      </c>
      <c r="F17" s="45">
        <v>295</v>
      </c>
      <c r="G17" s="41">
        <v>180.45</v>
      </c>
      <c r="H17" s="41">
        <v>360.9</v>
      </c>
      <c r="I17" s="41">
        <v>541.34999999999991</v>
      </c>
      <c r="J17" s="55">
        <v>721.8</v>
      </c>
      <c r="K17" s="55"/>
      <c r="L17" s="56">
        <v>132.751</v>
      </c>
      <c r="M17" s="56">
        <v>114.155</v>
      </c>
      <c r="N17" s="13"/>
    </row>
    <row r="18" spans="1:18" ht="17.100000000000001" customHeight="1">
      <c r="A18" s="35">
        <v>8</v>
      </c>
      <c r="B18" s="45" t="s">
        <v>44</v>
      </c>
      <c r="C18" s="45"/>
      <c r="D18" s="45"/>
      <c r="E18" s="45">
        <v>57.78</v>
      </c>
      <c r="F18" s="45">
        <v>0</v>
      </c>
      <c r="G18" s="41">
        <v>28.89</v>
      </c>
      <c r="H18" s="41">
        <v>57.78</v>
      </c>
      <c r="I18" s="41">
        <v>86.67</v>
      </c>
      <c r="J18" s="55">
        <v>115.56</v>
      </c>
      <c r="K18" s="55">
        <v>117.29340000000001</v>
      </c>
      <c r="L18" s="56">
        <v>119.052801</v>
      </c>
      <c r="M18" s="56">
        <v>120.838593015</v>
      </c>
    </row>
    <row r="19" spans="1:18" ht="17.100000000000001" customHeight="1">
      <c r="A19" s="35">
        <v>9</v>
      </c>
      <c r="B19" s="45" t="s">
        <v>45</v>
      </c>
      <c r="C19" s="45"/>
      <c r="D19" s="45">
        <v>2.3559999999999999</v>
      </c>
      <c r="E19" s="45">
        <v>4.0389999999999997</v>
      </c>
      <c r="F19" s="45">
        <v>62</v>
      </c>
      <c r="G19" s="41">
        <v>4.1347500000000004</v>
      </c>
      <c r="H19" s="41">
        <v>8.2695000000000007</v>
      </c>
      <c r="I19" s="41">
        <v>12.404250000000001</v>
      </c>
      <c r="J19" s="55">
        <v>16.539000000000001</v>
      </c>
      <c r="K19" s="55">
        <v>32.338999999999999</v>
      </c>
      <c r="L19" s="56">
        <v>147.339</v>
      </c>
      <c r="M19" s="56">
        <v>262.339</v>
      </c>
      <c r="N19" s="13"/>
    </row>
    <row r="20" spans="1:18" ht="17.100000000000001" customHeight="1">
      <c r="A20" s="35">
        <v>10</v>
      </c>
      <c r="B20" s="45" t="s">
        <v>46</v>
      </c>
      <c r="C20" s="45"/>
      <c r="D20" s="45">
        <v>2.2130000000000001</v>
      </c>
      <c r="E20" s="45"/>
      <c r="F20" s="45"/>
      <c r="G20" s="41"/>
      <c r="H20" s="41"/>
      <c r="I20" s="41"/>
      <c r="J20" s="55"/>
      <c r="K20" s="55"/>
      <c r="L20" s="56"/>
      <c r="M20" s="56"/>
    </row>
    <row r="21" spans="1:18" s="14" customFormat="1" ht="17.100000000000001" customHeight="1">
      <c r="A21" s="35">
        <v>11</v>
      </c>
      <c r="B21" s="45" t="s">
        <v>47</v>
      </c>
      <c r="C21" s="45"/>
      <c r="D21" s="45">
        <v>-0.312</v>
      </c>
      <c r="E21" s="45">
        <v>180</v>
      </c>
      <c r="F21" s="45"/>
      <c r="G21" s="41">
        <v>48</v>
      </c>
      <c r="H21" s="41">
        <v>96</v>
      </c>
      <c r="I21" s="41">
        <v>144</v>
      </c>
      <c r="J21" s="45">
        <v>192</v>
      </c>
      <c r="K21" s="45">
        <v>193.92000000000002</v>
      </c>
      <c r="L21" s="45">
        <v>147</v>
      </c>
      <c r="M21" s="44">
        <v>157</v>
      </c>
      <c r="N21" s="84"/>
    </row>
    <row r="22" spans="1:18" ht="17.100000000000001" customHeight="1">
      <c r="A22" s="35">
        <v>12</v>
      </c>
      <c r="B22" s="45" t="s">
        <v>48</v>
      </c>
      <c r="C22" s="45">
        <v>3.2080000000000002</v>
      </c>
      <c r="D22" s="45">
        <v>6.992</v>
      </c>
      <c r="E22" s="45"/>
      <c r="F22" s="45"/>
      <c r="G22" s="41">
        <v>1.25</v>
      </c>
      <c r="H22" s="41">
        <v>2.5</v>
      </c>
      <c r="I22" s="41">
        <v>3.75</v>
      </c>
      <c r="J22" s="55">
        <v>5</v>
      </c>
      <c r="K22" s="55">
        <v>5</v>
      </c>
      <c r="L22" s="55">
        <v>5</v>
      </c>
      <c r="M22" s="55">
        <v>5</v>
      </c>
    </row>
    <row r="23" spans="1:18" ht="17.100000000000001" customHeight="1">
      <c r="A23" s="35">
        <v>13</v>
      </c>
      <c r="B23" s="47" t="s">
        <v>49</v>
      </c>
      <c r="C23" s="47">
        <f t="shared" ref="C23:M23" si="1">SUM(C16:C22)</f>
        <v>90.320499999999996</v>
      </c>
      <c r="D23" s="47">
        <f>SUM(D16:D22)</f>
        <v>39.697000000000003</v>
      </c>
      <c r="E23" s="47">
        <f>SUM(E16:E22)</f>
        <v>427.21899999999999</v>
      </c>
      <c r="F23" s="47">
        <f t="shared" ref="F23:I23" si="2">SUM(F16:F22)</f>
        <v>357</v>
      </c>
      <c r="G23" s="48">
        <f t="shared" si="2"/>
        <v>262.72474999999997</v>
      </c>
      <c r="H23" s="48">
        <f t="shared" si="2"/>
        <v>525.44949999999994</v>
      </c>
      <c r="I23" s="48">
        <f t="shared" si="2"/>
        <v>788.17424999999992</v>
      </c>
      <c r="J23" s="50">
        <f t="shared" si="1"/>
        <v>1050.8989999999999</v>
      </c>
      <c r="K23" s="50">
        <f t="shared" si="1"/>
        <v>348.55240000000003</v>
      </c>
      <c r="L23" s="51">
        <f t="shared" si="1"/>
        <v>551.14280099999996</v>
      </c>
      <c r="M23" s="51">
        <f t="shared" si="1"/>
        <v>659.33259301499993</v>
      </c>
    </row>
    <row r="24" spans="1:18" ht="17.100000000000001" customHeight="1">
      <c r="A24" s="35">
        <v>14</v>
      </c>
      <c r="B24" s="52" t="s">
        <v>50</v>
      </c>
      <c r="C24" s="52">
        <f>C15-C23</f>
        <v>892.76405999999997</v>
      </c>
      <c r="D24" s="52">
        <f t="shared" ref="D24:M24" si="3">D15-D23</f>
        <v>-39.697000000000003</v>
      </c>
      <c r="E24" s="52">
        <f t="shared" si="3"/>
        <v>1365.675</v>
      </c>
      <c r="F24" s="52">
        <f t="shared" si="3"/>
        <v>1955.413</v>
      </c>
      <c r="G24" s="53">
        <f t="shared" si="3"/>
        <v>1541.83475</v>
      </c>
      <c r="H24" s="53">
        <f t="shared" si="3"/>
        <v>3083.6695</v>
      </c>
      <c r="I24" s="53">
        <f t="shared" si="3"/>
        <v>4625.50425</v>
      </c>
      <c r="J24" s="52">
        <f t="shared" si="3"/>
        <v>6759.6020000000008</v>
      </c>
      <c r="K24" s="52">
        <f t="shared" si="3"/>
        <v>-348.55240000000003</v>
      </c>
      <c r="L24" s="52">
        <f t="shared" si="3"/>
        <v>856.43619899999999</v>
      </c>
      <c r="M24" s="54">
        <f t="shared" si="3"/>
        <v>547.15740698500008</v>
      </c>
    </row>
    <row r="25" spans="1:18" ht="17.100000000000001" customHeight="1">
      <c r="A25" s="35">
        <v>15</v>
      </c>
      <c r="B25" s="45" t="s">
        <v>51</v>
      </c>
      <c r="C25" s="45"/>
      <c r="D25" s="45"/>
      <c r="E25" s="45"/>
      <c r="F25" s="45"/>
      <c r="G25" s="46"/>
      <c r="H25" s="46"/>
      <c r="I25" s="46"/>
      <c r="J25" s="55"/>
      <c r="K25" s="55"/>
      <c r="L25" s="56"/>
      <c r="M25" s="56"/>
    </row>
    <row r="26" spans="1:18" ht="17.100000000000001" customHeight="1">
      <c r="A26" s="35">
        <v>16</v>
      </c>
      <c r="B26" s="45" t="s">
        <v>52</v>
      </c>
      <c r="C26" s="45"/>
      <c r="D26" s="45"/>
      <c r="E26" s="45"/>
      <c r="F26" s="45"/>
      <c r="G26" s="46"/>
      <c r="H26" s="46"/>
      <c r="I26" s="46"/>
      <c r="J26" s="55"/>
      <c r="K26" s="55"/>
      <c r="L26" s="56"/>
      <c r="M26" s="56"/>
      <c r="N26" s="13"/>
      <c r="O26" s="15"/>
      <c r="P26" s="15"/>
      <c r="Q26" s="15"/>
      <c r="R26" s="96"/>
    </row>
    <row r="27" spans="1:18" ht="17.100000000000001" customHeight="1">
      <c r="A27" s="35">
        <v>17</v>
      </c>
      <c r="B27" s="45" t="s">
        <v>53</v>
      </c>
      <c r="C27" s="45"/>
      <c r="D27" s="45"/>
      <c r="E27" s="45"/>
      <c r="F27" s="45"/>
      <c r="G27" s="46"/>
      <c r="H27" s="46"/>
      <c r="I27" s="46"/>
      <c r="J27" s="55"/>
      <c r="K27" s="55"/>
      <c r="L27" s="56"/>
      <c r="M27" s="56"/>
      <c r="N27" s="13"/>
      <c r="O27" s="13"/>
      <c r="P27" s="13"/>
      <c r="Q27" s="13"/>
      <c r="R27" s="13"/>
    </row>
    <row r="28" spans="1:18" ht="17.100000000000001" customHeight="1">
      <c r="A28" s="35">
        <v>18</v>
      </c>
      <c r="B28" s="57" t="s">
        <v>54</v>
      </c>
      <c r="C28" s="57">
        <f>C25+C26-C27</f>
        <v>0</v>
      </c>
      <c r="D28" s="57">
        <f t="shared" ref="D28:M28" si="4">D25+D26-D27</f>
        <v>0</v>
      </c>
      <c r="E28" s="57">
        <f t="shared" si="4"/>
        <v>0</v>
      </c>
      <c r="F28" s="57">
        <f t="shared" si="4"/>
        <v>0</v>
      </c>
      <c r="G28" s="58">
        <f t="shared" si="4"/>
        <v>0</v>
      </c>
      <c r="H28" s="58">
        <f t="shared" si="4"/>
        <v>0</v>
      </c>
      <c r="I28" s="58">
        <f t="shared" si="4"/>
        <v>0</v>
      </c>
      <c r="J28" s="57">
        <f t="shared" si="4"/>
        <v>0</v>
      </c>
      <c r="K28" s="57">
        <f t="shared" si="4"/>
        <v>0</v>
      </c>
      <c r="L28" s="57">
        <f t="shared" si="4"/>
        <v>0</v>
      </c>
      <c r="M28" s="59">
        <f t="shared" si="4"/>
        <v>0</v>
      </c>
      <c r="N28" s="13"/>
      <c r="O28" s="13"/>
      <c r="P28" s="13"/>
      <c r="Q28" s="13"/>
      <c r="R28" s="13"/>
    </row>
    <row r="29" spans="1:18" ht="17.100000000000001" customHeight="1">
      <c r="A29" s="35">
        <v>19</v>
      </c>
      <c r="B29" s="60" t="s">
        <v>55</v>
      </c>
      <c r="C29" s="52">
        <f t="shared" ref="C29:M29" si="5">C24+C28</f>
        <v>892.76405999999997</v>
      </c>
      <c r="D29" s="52">
        <f t="shared" si="5"/>
        <v>-39.697000000000003</v>
      </c>
      <c r="E29" s="52">
        <f>E24+E28</f>
        <v>1365.675</v>
      </c>
      <c r="F29" s="52">
        <f t="shared" ref="F29:I29" si="6">F24+F28</f>
        <v>1955.413</v>
      </c>
      <c r="G29" s="53">
        <f t="shared" si="6"/>
        <v>1541.83475</v>
      </c>
      <c r="H29" s="53">
        <f t="shared" si="6"/>
        <v>3083.6695</v>
      </c>
      <c r="I29" s="53">
        <f t="shared" si="6"/>
        <v>4625.50425</v>
      </c>
      <c r="J29" s="61">
        <f t="shared" si="5"/>
        <v>6759.6020000000008</v>
      </c>
      <c r="K29" s="61">
        <f t="shared" si="5"/>
        <v>-348.55240000000003</v>
      </c>
      <c r="L29" s="62">
        <f t="shared" si="5"/>
        <v>856.43619899999999</v>
      </c>
      <c r="M29" s="62">
        <f t="shared" si="5"/>
        <v>547.15740698500008</v>
      </c>
      <c r="N29" s="97"/>
      <c r="O29" s="98"/>
      <c r="P29" s="98"/>
      <c r="Q29" s="98"/>
      <c r="R29" s="98"/>
    </row>
    <row r="30" spans="1:18" ht="17.100000000000001" customHeight="1">
      <c r="A30" s="35">
        <v>20</v>
      </c>
      <c r="B30" s="4" t="s">
        <v>56</v>
      </c>
      <c r="C30" s="4">
        <v>-893</v>
      </c>
      <c r="D30" s="4">
        <v>39.698</v>
      </c>
      <c r="E30" s="4"/>
      <c r="F30" s="4"/>
      <c r="G30" s="5"/>
      <c r="H30" s="5"/>
      <c r="I30" s="5"/>
      <c r="J30" s="6"/>
      <c r="K30" s="6"/>
      <c r="L30" s="7"/>
      <c r="M30" s="7"/>
      <c r="N30" s="97"/>
      <c r="O30" s="98"/>
      <c r="P30" s="98"/>
      <c r="Q30" s="98"/>
      <c r="R30" s="98"/>
    </row>
    <row r="31" spans="1:18" ht="17.100000000000001" customHeight="1">
      <c r="A31" s="35">
        <v>21</v>
      </c>
      <c r="B31" s="45" t="s">
        <v>57</v>
      </c>
      <c r="C31" s="45"/>
      <c r="D31" s="45"/>
      <c r="E31" s="45"/>
      <c r="F31" s="45"/>
      <c r="G31" s="46"/>
      <c r="H31" s="46"/>
      <c r="I31" s="46"/>
      <c r="J31" s="55"/>
      <c r="K31" s="55"/>
      <c r="L31" s="56"/>
      <c r="M31" s="56"/>
      <c r="N31" s="13"/>
      <c r="O31" s="13"/>
      <c r="P31" s="13"/>
      <c r="Q31" s="13"/>
      <c r="R31" s="13"/>
    </row>
    <row r="32" spans="1:18" ht="17.100000000000001" customHeight="1">
      <c r="A32" s="63">
        <v>22</v>
      </c>
      <c r="B32" s="64" t="s">
        <v>58</v>
      </c>
      <c r="C32" s="64">
        <f t="shared" ref="C32:M32" si="7">C29+C30-C31</f>
        <v>-0.23594000000002779</v>
      </c>
      <c r="D32" s="64">
        <f t="shared" si="7"/>
        <v>9.9999999999766942E-4</v>
      </c>
      <c r="E32" s="64">
        <f t="shared" si="7"/>
        <v>1365.675</v>
      </c>
      <c r="F32" s="64">
        <f t="shared" si="7"/>
        <v>1955.413</v>
      </c>
      <c r="G32" s="65">
        <f t="shared" si="7"/>
        <v>1541.83475</v>
      </c>
      <c r="H32" s="65">
        <f t="shared" si="7"/>
        <v>3083.6695</v>
      </c>
      <c r="I32" s="65">
        <f t="shared" si="7"/>
        <v>4625.50425</v>
      </c>
      <c r="J32" s="66">
        <f t="shared" si="7"/>
        <v>6759.6020000000008</v>
      </c>
      <c r="K32" s="66">
        <f t="shared" si="7"/>
        <v>-348.55240000000003</v>
      </c>
      <c r="L32" s="67">
        <f t="shared" si="7"/>
        <v>856.43619899999999</v>
      </c>
      <c r="M32" s="67">
        <f t="shared" si="7"/>
        <v>547.15740698500008</v>
      </c>
    </row>
    <row r="33" spans="1:13">
      <c r="A33" s="99" t="s">
        <v>59</v>
      </c>
    </row>
    <row r="34" spans="1:13" s="18" customFormat="1" ht="36">
      <c r="B34" s="246" t="s">
        <v>155</v>
      </c>
      <c r="E34" s="19">
        <v>-1366</v>
      </c>
      <c r="J34" s="19">
        <v>-6760</v>
      </c>
      <c r="K34" s="19">
        <v>348.55240000000003</v>
      </c>
      <c r="L34" s="19">
        <v>-856</v>
      </c>
      <c r="M34" s="19">
        <v>-547</v>
      </c>
    </row>
    <row r="35" spans="1:13" s="20" customFormat="1">
      <c r="B35" s="21" t="s">
        <v>60</v>
      </c>
      <c r="C35" s="22"/>
      <c r="D35" s="22"/>
      <c r="E35" s="22">
        <f>SUM(E32:E34)</f>
        <v>-0.32500000000004547</v>
      </c>
      <c r="F35" s="21"/>
      <c r="G35" s="21"/>
      <c r="H35" s="21"/>
      <c r="I35" s="21"/>
      <c r="J35" s="22">
        <f>SUM(J32:J34)</f>
        <v>-0.39799999999922875</v>
      </c>
      <c r="K35" s="22">
        <f t="shared" ref="K35:M35" si="8">SUM(K32:K34)</f>
        <v>0</v>
      </c>
      <c r="L35" s="22">
        <f t="shared" si="8"/>
        <v>0.43619899999998779</v>
      </c>
      <c r="M35" s="22">
        <f t="shared" si="8"/>
        <v>0.15740698500007966</v>
      </c>
    </row>
  </sheetData>
  <mergeCells count="13">
    <mergeCell ref="A8:B8"/>
    <mergeCell ref="B10:M10"/>
    <mergeCell ref="J1:M3"/>
    <mergeCell ref="A6:B6"/>
    <mergeCell ref="G6:M6"/>
    <mergeCell ref="A7:B7"/>
    <mergeCell ref="C7:F7"/>
    <mergeCell ref="G7:K7"/>
    <mergeCell ref="L7:M7"/>
    <mergeCell ref="A1:E3"/>
    <mergeCell ref="A4:M4"/>
    <mergeCell ref="A5:B5"/>
    <mergeCell ref="C5:M5"/>
  </mergeCells>
  <pageMargins left="0.51181102362204722" right="0" top="0.39370078740157483" bottom="0.19685039370078741" header="0.31496062992125984" footer="0.31496062992125984"/>
  <pageSetup paperSize="9" scale="70" orientation="landscape" r:id="rId1"/>
  <headerFooter>
    <oddHeader>&amp;RBlatt 2h</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view="pageLayout" zoomScale="60" zoomScaleNormal="100" zoomScalePageLayoutView="60" workbookViewId="0">
      <selection activeCell="C55" sqref="C55"/>
    </sheetView>
  </sheetViews>
  <sheetFormatPr baseColWidth="10" defaultColWidth="3.5703125" defaultRowHeight="15"/>
  <cols>
    <col min="1" max="1" width="6.5703125" customWidth="1"/>
    <col min="2" max="2" width="57.85546875" style="125" bestFit="1" customWidth="1"/>
    <col min="3" max="10" width="19.42578125" style="125" customWidth="1"/>
  </cols>
  <sheetData>
    <row r="1" spans="1:10" ht="18">
      <c r="A1" s="504" t="s">
        <v>83</v>
      </c>
      <c r="B1" s="505"/>
      <c r="C1" s="505"/>
      <c r="D1" s="505"/>
      <c r="E1" s="505"/>
      <c r="F1" s="505"/>
      <c r="G1" s="505"/>
      <c r="H1" s="505"/>
      <c r="I1" s="505"/>
      <c r="J1" s="506"/>
    </row>
    <row r="2" spans="1:10" ht="18" customHeight="1">
      <c r="A2" s="480" t="s">
        <v>157</v>
      </c>
      <c r="B2" s="503"/>
      <c r="C2" s="482" t="s">
        <v>4</v>
      </c>
      <c r="D2" s="482"/>
      <c r="E2" s="482"/>
      <c r="F2" s="482"/>
      <c r="G2" s="482"/>
      <c r="H2" s="482"/>
      <c r="I2" s="482"/>
      <c r="J2" s="507"/>
    </row>
    <row r="3" spans="1:10" ht="18" customHeight="1">
      <c r="A3" s="249"/>
      <c r="B3" s="250"/>
      <c r="C3" s="251"/>
      <c r="D3" s="251"/>
      <c r="E3" s="251"/>
      <c r="F3" s="251"/>
      <c r="G3" s="508" t="s">
        <v>8</v>
      </c>
      <c r="H3" s="509"/>
      <c r="I3" s="510" t="s">
        <v>9</v>
      </c>
      <c r="J3" s="509"/>
    </row>
    <row r="4" spans="1:10">
      <c r="A4" s="252" t="s">
        <v>158</v>
      </c>
      <c r="B4" s="253" t="s">
        <v>89</v>
      </c>
      <c r="C4" s="26" t="s">
        <v>11</v>
      </c>
      <c r="D4" s="26" t="s">
        <v>11</v>
      </c>
      <c r="E4" s="26" t="s">
        <v>12</v>
      </c>
      <c r="F4" s="26" t="s">
        <v>13</v>
      </c>
      <c r="G4" s="26" t="s">
        <v>18</v>
      </c>
      <c r="H4" s="26" t="s">
        <v>18</v>
      </c>
      <c r="I4" s="28" t="s">
        <v>18</v>
      </c>
      <c r="J4" s="29" t="s">
        <v>18</v>
      </c>
    </row>
    <row r="5" spans="1:10">
      <c r="A5" s="254"/>
      <c r="B5" s="255"/>
      <c r="C5" s="256">
        <v>2015</v>
      </c>
      <c r="D5" s="256">
        <v>2016</v>
      </c>
      <c r="E5" s="256">
        <v>2017</v>
      </c>
      <c r="F5" s="256">
        <v>2017</v>
      </c>
      <c r="G5" s="257">
        <v>2018</v>
      </c>
      <c r="H5" s="257">
        <v>2019</v>
      </c>
      <c r="I5" s="258">
        <v>2020</v>
      </c>
      <c r="J5" s="257">
        <v>2021</v>
      </c>
    </row>
    <row r="6" spans="1:10" s="262" customFormat="1">
      <c r="A6" s="259">
        <v>1</v>
      </c>
      <c r="B6" s="260" t="s">
        <v>159</v>
      </c>
      <c r="C6" s="383">
        <f>SUM(C7:C12)</f>
        <v>3886</v>
      </c>
      <c r="D6" s="383">
        <f t="shared" ref="D6:J6" si="0">SUM(D7:D12)</f>
        <v>4265</v>
      </c>
      <c r="E6" s="383">
        <f t="shared" si="0"/>
        <v>10150</v>
      </c>
      <c r="F6" s="383">
        <f t="shared" si="0"/>
        <v>16651</v>
      </c>
      <c r="G6" s="383">
        <f t="shared" si="0"/>
        <v>18332</v>
      </c>
      <c r="H6" s="383">
        <f t="shared" si="0"/>
        <v>14422</v>
      </c>
      <c r="I6" s="383">
        <f t="shared" si="0"/>
        <v>10700</v>
      </c>
      <c r="J6" s="383">
        <f t="shared" si="0"/>
        <v>6150</v>
      </c>
    </row>
    <row r="7" spans="1:10" s="262" customFormat="1" ht="14.25">
      <c r="A7" s="259">
        <v>2</v>
      </c>
      <c r="B7" s="263" t="s">
        <v>160</v>
      </c>
      <c r="C7" s="383">
        <v>26</v>
      </c>
      <c r="D7" s="383">
        <v>25</v>
      </c>
      <c r="E7" s="383">
        <v>66</v>
      </c>
      <c r="F7" s="383">
        <v>60</v>
      </c>
      <c r="G7" s="383">
        <v>145</v>
      </c>
      <c r="H7" s="383">
        <v>50</v>
      </c>
      <c r="I7" s="383">
        <v>100</v>
      </c>
      <c r="J7" s="383">
        <v>50</v>
      </c>
    </row>
    <row r="8" spans="1:10" s="262" customFormat="1" ht="14.25">
      <c r="A8" s="259">
        <v>3</v>
      </c>
      <c r="B8" s="263" t="s">
        <v>161</v>
      </c>
      <c r="C8" s="383">
        <v>671</v>
      </c>
      <c r="D8" s="383">
        <v>697</v>
      </c>
      <c r="E8" s="383">
        <v>3407</v>
      </c>
      <c r="F8" s="383">
        <v>6431</v>
      </c>
      <c r="G8" s="383">
        <v>7076</v>
      </c>
      <c r="H8" s="383">
        <v>5116</v>
      </c>
      <c r="I8" s="383">
        <v>3555</v>
      </c>
      <c r="J8" s="383">
        <v>1330</v>
      </c>
    </row>
    <row r="9" spans="1:10" s="262" customFormat="1" ht="14.25">
      <c r="A9" s="259">
        <v>4</v>
      </c>
      <c r="B9" s="263" t="s">
        <v>162</v>
      </c>
      <c r="C9" s="383">
        <v>1165</v>
      </c>
      <c r="D9" s="383">
        <v>1334</v>
      </c>
      <c r="E9" s="383">
        <v>1432</v>
      </c>
      <c r="F9" s="383">
        <v>1702</v>
      </c>
      <c r="G9" s="383">
        <v>1752</v>
      </c>
      <c r="H9" s="383">
        <v>1802</v>
      </c>
      <c r="I9" s="383">
        <v>1502</v>
      </c>
      <c r="J9" s="383">
        <v>1502</v>
      </c>
    </row>
    <row r="10" spans="1:10" s="262" customFormat="1" ht="14.25">
      <c r="A10" s="259">
        <v>5</v>
      </c>
      <c r="B10" s="265" t="s">
        <v>163</v>
      </c>
      <c r="C10" s="383"/>
      <c r="D10" s="383"/>
      <c r="E10" s="383"/>
      <c r="F10" s="383"/>
      <c r="G10" s="383"/>
      <c r="H10" s="383"/>
      <c r="I10" s="383"/>
      <c r="J10" s="383"/>
    </row>
    <row r="11" spans="1:10" s="262" customFormat="1" ht="14.25">
      <c r="A11" s="259">
        <v>6</v>
      </c>
      <c r="B11" s="265" t="s">
        <v>164</v>
      </c>
      <c r="C11" s="383"/>
      <c r="D11" s="383"/>
      <c r="E11" s="383"/>
      <c r="F11" s="383"/>
      <c r="G11" s="383"/>
      <c r="H11" s="383"/>
      <c r="I11" s="383"/>
      <c r="J11" s="383"/>
    </row>
    <row r="12" spans="1:10" s="262" customFormat="1" ht="14.25">
      <c r="A12" s="259">
        <v>7</v>
      </c>
      <c r="B12" s="265" t="s">
        <v>165</v>
      </c>
      <c r="C12" s="383">
        <v>2024</v>
      </c>
      <c r="D12" s="383">
        <v>2209</v>
      </c>
      <c r="E12" s="383">
        <v>5245</v>
      </c>
      <c r="F12" s="383">
        <v>8458</v>
      </c>
      <c r="G12" s="383">
        <v>9359</v>
      </c>
      <c r="H12" s="383">
        <v>7454</v>
      </c>
      <c r="I12" s="383">
        <v>5543</v>
      </c>
      <c r="J12" s="383">
        <v>3268</v>
      </c>
    </row>
    <row r="13" spans="1:10">
      <c r="A13" s="259">
        <v>8</v>
      </c>
      <c r="B13" s="260" t="s">
        <v>166</v>
      </c>
      <c r="C13" s="261"/>
      <c r="D13" s="261"/>
      <c r="E13" s="261"/>
      <c r="F13" s="261"/>
      <c r="G13" s="261"/>
      <c r="H13" s="261"/>
      <c r="I13" s="261"/>
      <c r="J13" s="261"/>
    </row>
    <row r="14" spans="1:10">
      <c r="A14" s="259">
        <v>9</v>
      </c>
      <c r="B14" s="266" t="s">
        <v>167</v>
      </c>
      <c r="C14" s="384">
        <f>C6+C13</f>
        <v>3886</v>
      </c>
      <c r="D14" s="384">
        <f t="shared" ref="D14:J14" si="1">D6+D13</f>
        <v>4265</v>
      </c>
      <c r="E14" s="384">
        <f t="shared" si="1"/>
        <v>10150</v>
      </c>
      <c r="F14" s="384">
        <f t="shared" si="1"/>
        <v>16651</v>
      </c>
      <c r="G14" s="384">
        <f t="shared" si="1"/>
        <v>18332</v>
      </c>
      <c r="H14" s="384">
        <f t="shared" si="1"/>
        <v>14422</v>
      </c>
      <c r="I14" s="384">
        <f t="shared" si="1"/>
        <v>10700</v>
      </c>
      <c r="J14" s="384">
        <f t="shared" si="1"/>
        <v>6150</v>
      </c>
    </row>
    <row r="15" spans="1:10" s="262" customFormat="1">
      <c r="A15" s="259">
        <v>10</v>
      </c>
      <c r="B15" s="263" t="s">
        <v>168</v>
      </c>
      <c r="C15" s="264"/>
      <c r="D15" s="264"/>
      <c r="E15" s="264"/>
      <c r="F15" s="261"/>
      <c r="G15" s="261"/>
      <c r="H15" s="261"/>
      <c r="I15" s="261"/>
      <c r="J15" s="261"/>
    </row>
    <row r="16" spans="1:10" s="262" customFormat="1" ht="14.25">
      <c r="A16" s="259">
        <v>11</v>
      </c>
      <c r="B16" s="263" t="s">
        <v>169</v>
      </c>
      <c r="C16" s="264"/>
      <c r="D16" s="264"/>
      <c r="E16" s="264"/>
      <c r="F16" s="261"/>
      <c r="G16" s="261"/>
      <c r="H16" s="261"/>
      <c r="I16" s="261"/>
      <c r="J16" s="261"/>
    </row>
    <row r="17" spans="1:10" s="262" customFormat="1" ht="14.25">
      <c r="A17" s="259">
        <v>12</v>
      </c>
      <c r="B17" s="263" t="s">
        <v>170</v>
      </c>
      <c r="C17" s="264"/>
      <c r="D17" s="264"/>
      <c r="E17" s="264"/>
      <c r="F17" s="261"/>
      <c r="G17" s="261"/>
      <c r="H17" s="261"/>
      <c r="I17" s="261"/>
      <c r="J17" s="261"/>
    </row>
    <row r="18" spans="1:10" s="262" customFormat="1" ht="14.25">
      <c r="A18" s="259">
        <v>13</v>
      </c>
      <c r="B18" s="263" t="s">
        <v>171</v>
      </c>
      <c r="C18" s="264"/>
      <c r="D18" s="264"/>
      <c r="E18" s="264"/>
      <c r="F18" s="261"/>
      <c r="G18" s="261"/>
      <c r="H18" s="261"/>
      <c r="I18" s="261"/>
      <c r="J18" s="261"/>
    </row>
    <row r="19" spans="1:10" s="262" customFormat="1" ht="14.25">
      <c r="A19" s="259">
        <v>14</v>
      </c>
      <c r="B19" s="263" t="s">
        <v>172</v>
      </c>
      <c r="C19" s="264"/>
      <c r="D19" s="264"/>
      <c r="E19" s="264"/>
      <c r="F19" s="261"/>
      <c r="G19" s="261"/>
      <c r="H19" s="261"/>
      <c r="I19" s="261"/>
      <c r="J19" s="261"/>
    </row>
    <row r="20" spans="1:10" s="262" customFormat="1" ht="14.25">
      <c r="A20" s="259">
        <v>15</v>
      </c>
      <c r="B20" s="263" t="s">
        <v>173</v>
      </c>
      <c r="C20" s="264"/>
      <c r="D20" s="264"/>
      <c r="E20" s="264"/>
      <c r="F20" s="261"/>
      <c r="G20" s="261"/>
      <c r="H20" s="261"/>
      <c r="I20" s="261"/>
      <c r="J20" s="261"/>
    </row>
    <row r="21" spans="1:10" s="262" customFormat="1" ht="14.25">
      <c r="A21" s="259">
        <v>16</v>
      </c>
      <c r="B21" s="263" t="s">
        <v>174</v>
      </c>
      <c r="C21" s="384">
        <f>SUM(C22:C26)</f>
        <v>3394</v>
      </c>
      <c r="D21" s="384">
        <f t="shared" ref="D21:J21" si="2">SUM(D22:D26)</f>
        <v>3522</v>
      </c>
      <c r="E21" s="384">
        <f t="shared" si="2"/>
        <v>9650</v>
      </c>
      <c r="F21" s="384">
        <f t="shared" si="2"/>
        <v>16151</v>
      </c>
      <c r="G21" s="384">
        <f t="shared" si="2"/>
        <v>17832</v>
      </c>
      <c r="H21" s="384">
        <f t="shared" si="2"/>
        <v>13922</v>
      </c>
      <c r="I21" s="384">
        <f t="shared" si="2"/>
        <v>10200</v>
      </c>
      <c r="J21" s="384">
        <f t="shared" si="2"/>
        <v>5650</v>
      </c>
    </row>
    <row r="22" spans="1:10" s="262" customFormat="1" ht="14.25">
      <c r="A22" s="259">
        <v>17</v>
      </c>
      <c r="B22" s="263" t="s">
        <v>175</v>
      </c>
      <c r="C22" s="383">
        <v>462</v>
      </c>
      <c r="D22" s="383">
        <v>478</v>
      </c>
      <c r="E22" s="383">
        <v>3886</v>
      </c>
      <c r="F22" s="383">
        <v>1523</v>
      </c>
      <c r="G22" s="383">
        <v>1718</v>
      </c>
      <c r="H22" s="383">
        <v>1534</v>
      </c>
      <c r="I22" s="383">
        <v>1246</v>
      </c>
      <c r="J22" s="383">
        <v>730</v>
      </c>
    </row>
    <row r="23" spans="1:10" s="262" customFormat="1" ht="14.25">
      <c r="A23" s="259">
        <v>18</v>
      </c>
      <c r="B23" s="263" t="s">
        <v>176</v>
      </c>
      <c r="C23" s="383">
        <v>141</v>
      </c>
      <c r="D23" s="383">
        <v>42</v>
      </c>
      <c r="E23" s="383">
        <v>246</v>
      </c>
      <c r="F23" s="383">
        <v>246</v>
      </c>
      <c r="G23" s="383">
        <v>130</v>
      </c>
      <c r="H23" s="383">
        <v>0</v>
      </c>
      <c r="I23" s="383">
        <v>49</v>
      </c>
      <c r="J23" s="383">
        <v>52</v>
      </c>
    </row>
    <row r="24" spans="1:10" s="262" customFormat="1" ht="14.25">
      <c r="A24" s="259">
        <v>19</v>
      </c>
      <c r="B24" s="263" t="s">
        <v>177</v>
      </c>
      <c r="C24" s="383">
        <v>1598</v>
      </c>
      <c r="D24" s="383">
        <v>18228</v>
      </c>
      <c r="E24" s="383">
        <v>4422</v>
      </c>
      <c r="F24" s="383">
        <v>-3232</v>
      </c>
      <c r="G24" s="383">
        <v>3366</v>
      </c>
      <c r="H24" s="383">
        <v>5348</v>
      </c>
      <c r="I24" s="383">
        <v>3970</v>
      </c>
      <c r="J24" s="383">
        <v>2631</v>
      </c>
    </row>
    <row r="25" spans="1:10" s="262" customFormat="1" ht="14.25">
      <c r="A25" s="259">
        <v>20</v>
      </c>
      <c r="B25" s="263" t="s">
        <v>178</v>
      </c>
      <c r="C25" s="383">
        <v>701</v>
      </c>
      <c r="D25" s="383">
        <v>-15969</v>
      </c>
      <c r="E25" s="383">
        <v>596</v>
      </c>
      <c r="F25" s="383">
        <v>17114</v>
      </c>
      <c r="G25" s="383">
        <v>12118</v>
      </c>
      <c r="H25" s="383">
        <v>6540</v>
      </c>
      <c r="I25" s="383">
        <v>4435</v>
      </c>
      <c r="J25" s="383">
        <v>1737</v>
      </c>
    </row>
    <row r="26" spans="1:10">
      <c r="A26" s="259">
        <v>21</v>
      </c>
      <c r="B26" s="263" t="s">
        <v>179</v>
      </c>
      <c r="C26" s="383">
        <v>492</v>
      </c>
      <c r="D26" s="383">
        <v>743</v>
      </c>
      <c r="E26" s="383">
        <v>500</v>
      </c>
      <c r="F26" s="383">
        <v>500</v>
      </c>
      <c r="G26" s="383">
        <v>500</v>
      </c>
      <c r="H26" s="383">
        <v>500</v>
      </c>
      <c r="I26" s="383">
        <v>500</v>
      </c>
      <c r="J26" s="383">
        <v>500</v>
      </c>
    </row>
    <row r="27" spans="1:10" ht="14.1" customHeight="1">
      <c r="A27" s="267">
        <v>22</v>
      </c>
      <c r="B27" s="266" t="s">
        <v>180</v>
      </c>
      <c r="C27" s="384">
        <f>C15+C18+C21+C26</f>
        <v>3886</v>
      </c>
      <c r="D27" s="384">
        <f t="shared" ref="D27:J27" si="3">D15+D18+D21+D26</f>
        <v>4265</v>
      </c>
      <c r="E27" s="384">
        <f t="shared" si="3"/>
        <v>10150</v>
      </c>
      <c r="F27" s="384">
        <f t="shared" si="3"/>
        <v>16651</v>
      </c>
      <c r="G27" s="384">
        <f t="shared" si="3"/>
        <v>18332</v>
      </c>
      <c r="H27" s="384">
        <f t="shared" si="3"/>
        <v>14422</v>
      </c>
      <c r="I27" s="384">
        <f t="shared" si="3"/>
        <v>10700</v>
      </c>
      <c r="J27" s="384">
        <f t="shared" si="3"/>
        <v>6150</v>
      </c>
    </row>
    <row r="28" spans="1:10" ht="14.1" customHeight="1">
      <c r="A28" s="80"/>
      <c r="B28" s="268"/>
      <c r="C28" s="269"/>
      <c r="D28" s="270"/>
      <c r="E28" s="268"/>
      <c r="F28" s="271"/>
      <c r="G28" s="271"/>
      <c r="H28" s="272"/>
      <c r="I28" s="273"/>
      <c r="J28" s="273"/>
    </row>
    <row r="29" spans="1:10" ht="14.1" customHeight="1">
      <c r="A29" s="80"/>
      <c r="B29" s="263" t="s">
        <v>181</v>
      </c>
      <c r="C29" s="264"/>
      <c r="D29" s="274"/>
      <c r="E29" s="263"/>
      <c r="F29" s="260"/>
      <c r="G29" s="260"/>
      <c r="H29" s="261"/>
      <c r="I29" s="275"/>
      <c r="J29" s="275"/>
    </row>
    <row r="30" spans="1:10" ht="14.1" customHeight="1">
      <c r="A30" s="80"/>
      <c r="B30" s="276" t="s">
        <v>182</v>
      </c>
      <c r="C30" s="277">
        <v>29400</v>
      </c>
      <c r="D30" s="278">
        <v>41157</v>
      </c>
      <c r="E30" s="385">
        <v>41427</v>
      </c>
      <c r="F30" s="386">
        <v>24313</v>
      </c>
      <c r="G30" s="386">
        <v>24679</v>
      </c>
      <c r="H30" s="387">
        <v>17290</v>
      </c>
      <c r="I30" s="388">
        <v>13211</v>
      </c>
      <c r="J30" s="388">
        <v>11521</v>
      </c>
    </row>
    <row r="31" spans="1:10" ht="14.1" customHeight="1">
      <c r="B31" s="274"/>
      <c r="C31" s="274"/>
      <c r="D31" s="274"/>
      <c r="E31" s="274"/>
      <c r="F31" s="279"/>
      <c r="G31" s="279"/>
      <c r="H31" s="279"/>
      <c r="I31" s="279"/>
      <c r="J31" s="279"/>
    </row>
    <row r="32" spans="1:10" ht="14.1" customHeight="1">
      <c r="B32" s="280" t="s">
        <v>183</v>
      </c>
      <c r="C32" s="274"/>
      <c r="D32" s="274"/>
      <c r="E32" s="274"/>
      <c r="F32" s="279"/>
      <c r="G32" s="279"/>
      <c r="H32" s="279"/>
      <c r="I32" s="279"/>
      <c r="J32" s="279"/>
    </row>
    <row r="33" spans="2:10" ht="14.1" customHeight="1">
      <c r="B33" s="253" t="s">
        <v>184</v>
      </c>
      <c r="C33" s="26" t="s">
        <v>11</v>
      </c>
      <c r="D33" s="26" t="s">
        <v>11</v>
      </c>
      <c r="E33" s="26" t="s">
        <v>12</v>
      </c>
      <c r="F33" s="26" t="s">
        <v>13</v>
      </c>
      <c r="G33" s="26" t="s">
        <v>18</v>
      </c>
      <c r="H33" s="26" t="s">
        <v>18</v>
      </c>
      <c r="I33" s="28" t="s">
        <v>18</v>
      </c>
      <c r="J33" s="29" t="s">
        <v>18</v>
      </c>
    </row>
    <row r="34" spans="2:10" ht="14.1" customHeight="1">
      <c r="B34" s="281"/>
      <c r="C34" s="256">
        <v>2015</v>
      </c>
      <c r="D34" s="256">
        <v>2016</v>
      </c>
      <c r="E34" s="256">
        <v>2017</v>
      </c>
      <c r="F34" s="256">
        <v>2017</v>
      </c>
      <c r="G34" s="257">
        <v>2018</v>
      </c>
      <c r="H34" s="257">
        <v>2019</v>
      </c>
      <c r="I34" s="258">
        <v>2020</v>
      </c>
      <c r="J34" s="257">
        <v>2021</v>
      </c>
    </row>
    <row r="35" spans="2:10" ht="14.1" customHeight="1">
      <c r="B35" s="282"/>
      <c r="C35" s="269"/>
      <c r="D35" s="269"/>
      <c r="E35" s="269"/>
      <c r="F35" s="272"/>
      <c r="G35" s="272"/>
      <c r="H35" s="272"/>
      <c r="I35" s="272"/>
      <c r="J35" s="272"/>
    </row>
    <row r="36" spans="2:10" ht="14.1" customHeight="1">
      <c r="B36" s="283" t="s">
        <v>185</v>
      </c>
      <c r="C36" s="389">
        <v>144863</v>
      </c>
      <c r="D36" s="389">
        <v>163051</v>
      </c>
      <c r="E36" s="389">
        <v>168839</v>
      </c>
      <c r="F36" s="389">
        <v>159819</v>
      </c>
      <c r="G36" s="389">
        <v>148336</v>
      </c>
      <c r="H36" s="389">
        <v>153714</v>
      </c>
      <c r="I36" s="389">
        <v>157684</v>
      </c>
      <c r="J36" s="389">
        <v>160315</v>
      </c>
    </row>
    <row r="37" spans="2:10" ht="14.1" customHeight="1">
      <c r="B37" s="284" t="s">
        <v>186</v>
      </c>
      <c r="C37" s="390">
        <v>10640</v>
      </c>
      <c r="D37" s="390">
        <v>28868</v>
      </c>
      <c r="E37" s="390">
        <v>33290</v>
      </c>
      <c r="F37" s="383">
        <v>25636</v>
      </c>
      <c r="G37" s="383">
        <v>21762</v>
      </c>
      <c r="H37" s="383">
        <v>27110</v>
      </c>
      <c r="I37" s="383">
        <v>31080</v>
      </c>
      <c r="J37" s="383">
        <v>33711</v>
      </c>
    </row>
    <row r="38" spans="2:10" ht="14.1" customHeight="1">
      <c r="B38" s="285" t="s">
        <v>187</v>
      </c>
      <c r="C38" s="277">
        <v>3772</v>
      </c>
      <c r="D38" s="277">
        <v>5696</v>
      </c>
      <c r="E38" s="277">
        <v>5696</v>
      </c>
      <c r="F38" s="387">
        <v>5696</v>
      </c>
      <c r="G38" s="387">
        <v>5696</v>
      </c>
      <c r="H38" s="387">
        <v>5696</v>
      </c>
      <c r="I38" s="387">
        <v>5696</v>
      </c>
      <c r="J38" s="387">
        <v>5696</v>
      </c>
    </row>
    <row r="39" spans="2:10" ht="14.1" customHeight="1">
      <c r="B39" s="274"/>
      <c r="C39" s="274"/>
      <c r="D39" s="274"/>
      <c r="E39" s="274"/>
      <c r="F39" s="279"/>
      <c r="G39" s="279"/>
      <c r="H39" s="279"/>
      <c r="I39" s="279"/>
      <c r="J39" s="279"/>
    </row>
    <row r="40" spans="2:10" ht="14.1" customHeight="1">
      <c r="B40" s="280"/>
      <c r="C40" s="274"/>
      <c r="D40" s="274"/>
      <c r="E40" s="274"/>
      <c r="F40" s="279"/>
      <c r="G40" s="279"/>
      <c r="H40" s="279"/>
      <c r="I40" s="279"/>
      <c r="J40" s="279"/>
    </row>
    <row r="41" spans="2:10" ht="18" customHeight="1">
      <c r="B41" s="280" t="s">
        <v>188</v>
      </c>
      <c r="C41" s="274"/>
      <c r="D41" s="274"/>
      <c r="E41" s="274"/>
      <c r="F41" s="279"/>
      <c r="G41" s="279"/>
      <c r="H41" s="279"/>
      <c r="I41" s="279"/>
      <c r="J41" s="279"/>
    </row>
    <row r="42" spans="2:10">
      <c r="B42" s="286" t="s">
        <v>189</v>
      </c>
      <c r="C42" s="287"/>
      <c r="D42" s="26"/>
      <c r="E42" s="26" t="s">
        <v>11</v>
      </c>
      <c r="F42" s="26" t="s">
        <v>13</v>
      </c>
      <c r="G42" s="26" t="s">
        <v>18</v>
      </c>
      <c r="H42" s="26" t="s">
        <v>18</v>
      </c>
      <c r="I42" s="28" t="s">
        <v>18</v>
      </c>
      <c r="J42" s="29" t="s">
        <v>18</v>
      </c>
    </row>
    <row r="43" spans="2:10">
      <c r="B43" s="288"/>
      <c r="C43" s="289"/>
      <c r="D43" s="256"/>
      <c r="E43" s="256">
        <v>2016</v>
      </c>
      <c r="F43" s="256">
        <v>2017</v>
      </c>
      <c r="G43" s="257">
        <v>2018</v>
      </c>
      <c r="H43" s="257">
        <v>2019</v>
      </c>
      <c r="I43" s="258">
        <v>2020</v>
      </c>
      <c r="J43" s="257">
        <v>2021</v>
      </c>
    </row>
    <row r="44" spans="2:10">
      <c r="B44" s="290"/>
      <c r="C44" s="291"/>
      <c r="D44" s="291"/>
      <c r="E44" s="291"/>
      <c r="F44" s="291"/>
      <c r="G44" s="291"/>
      <c r="H44" s="291"/>
      <c r="I44" s="291"/>
      <c r="J44" s="291"/>
    </row>
    <row r="45" spans="2:10">
      <c r="B45" s="261" t="s">
        <v>190</v>
      </c>
      <c r="C45" s="292"/>
      <c r="D45" s="292"/>
      <c r="E45" s="292"/>
      <c r="F45" s="292"/>
      <c r="G45" s="292"/>
      <c r="H45" s="292"/>
      <c r="I45" s="292"/>
      <c r="J45" s="292"/>
    </row>
    <row r="46" spans="2:10">
      <c r="B46" s="293"/>
      <c r="C46" s="294"/>
      <c r="D46" s="294"/>
      <c r="E46" s="294"/>
      <c r="F46" s="294"/>
      <c r="G46" s="294"/>
      <c r="H46" s="294"/>
      <c r="I46" s="294"/>
      <c r="J46" s="294"/>
    </row>
    <row r="47" spans="2:10">
      <c r="B47" s="261" t="s">
        <v>191</v>
      </c>
      <c r="C47" s="292"/>
      <c r="D47" s="292"/>
      <c r="E47" s="292"/>
      <c r="F47" s="292"/>
      <c r="G47" s="292"/>
      <c r="H47" s="292"/>
      <c r="I47" s="292"/>
      <c r="J47" s="292"/>
    </row>
    <row r="48" spans="2:10">
      <c r="B48" s="293"/>
      <c r="C48" s="294"/>
      <c r="D48" s="294"/>
      <c r="E48" s="294"/>
      <c r="F48" s="294"/>
      <c r="G48" s="294"/>
      <c r="H48" s="294"/>
      <c r="I48" s="294"/>
      <c r="J48" s="294"/>
    </row>
    <row r="49" spans="2:10">
      <c r="B49" s="261" t="s">
        <v>192</v>
      </c>
      <c r="C49" s="294"/>
      <c r="D49" s="294"/>
      <c r="E49" s="294"/>
      <c r="F49" s="294"/>
      <c r="G49" s="294"/>
      <c r="H49" s="294"/>
      <c r="I49" s="294"/>
      <c r="J49" s="294"/>
    </row>
    <row r="50" spans="2:10">
      <c r="B50" s="293"/>
      <c r="C50" s="294"/>
      <c r="D50" s="294"/>
      <c r="E50" s="294"/>
      <c r="F50" s="294"/>
      <c r="G50" s="294"/>
      <c r="H50" s="294"/>
      <c r="I50" s="294"/>
      <c r="J50" s="294"/>
    </row>
    <row r="51" spans="2:10">
      <c r="B51" s="295" t="s">
        <v>193</v>
      </c>
      <c r="C51" s="296"/>
      <c r="D51" s="296"/>
      <c r="E51" s="296"/>
      <c r="F51" s="296"/>
      <c r="G51" s="296"/>
      <c r="H51" s="296"/>
      <c r="I51" s="296"/>
      <c r="J51" s="296"/>
    </row>
    <row r="65" spans="2:10">
      <c r="B65"/>
      <c r="C65"/>
      <c r="D65"/>
      <c r="E65"/>
      <c r="F65"/>
      <c r="G65"/>
      <c r="H65"/>
      <c r="I65"/>
      <c r="J65"/>
    </row>
    <row r="66" spans="2:10">
      <c r="B66"/>
      <c r="C66"/>
      <c r="D66"/>
      <c r="E66"/>
      <c r="F66"/>
      <c r="G66"/>
      <c r="H66"/>
      <c r="I66"/>
      <c r="J66"/>
    </row>
    <row r="67" spans="2:10">
      <c r="B67"/>
      <c r="C67"/>
      <c r="D67"/>
      <c r="E67"/>
      <c r="F67"/>
      <c r="G67"/>
      <c r="H67"/>
      <c r="I67"/>
      <c r="J67"/>
    </row>
    <row r="68" spans="2:10">
      <c r="B68"/>
      <c r="C68"/>
      <c r="D68"/>
      <c r="E68"/>
      <c r="F68"/>
      <c r="G68"/>
      <c r="H68"/>
      <c r="I68"/>
      <c r="J68"/>
    </row>
    <row r="69" spans="2:10">
      <c r="B69"/>
      <c r="C69"/>
      <c r="D69"/>
      <c r="E69"/>
      <c r="F69"/>
      <c r="G69"/>
      <c r="H69"/>
      <c r="I69"/>
      <c r="J69"/>
    </row>
    <row r="70" spans="2:10">
      <c r="B70"/>
      <c r="C70"/>
      <c r="D70"/>
      <c r="E70"/>
      <c r="F70"/>
      <c r="G70"/>
      <c r="H70"/>
      <c r="I70"/>
      <c r="J70"/>
    </row>
    <row r="71" spans="2:10">
      <c r="B71"/>
      <c r="C71"/>
      <c r="D71"/>
      <c r="E71"/>
      <c r="F71"/>
      <c r="G71"/>
      <c r="H71"/>
      <c r="I71"/>
      <c r="J71"/>
    </row>
    <row r="72" spans="2:10">
      <c r="B72"/>
      <c r="C72"/>
      <c r="D72"/>
      <c r="E72"/>
      <c r="F72"/>
      <c r="G72"/>
      <c r="H72"/>
      <c r="I72"/>
      <c r="J72"/>
    </row>
    <row r="73" spans="2:10">
      <c r="B73"/>
      <c r="C73"/>
      <c r="D73"/>
      <c r="E73"/>
      <c r="F73"/>
      <c r="G73"/>
      <c r="H73"/>
      <c r="I73"/>
      <c r="J73"/>
    </row>
    <row r="74" spans="2:10">
      <c r="B74"/>
      <c r="C74"/>
      <c r="D74"/>
      <c r="E74"/>
      <c r="F74"/>
      <c r="G74"/>
      <c r="H74"/>
      <c r="I74"/>
      <c r="J74"/>
    </row>
    <row r="75" spans="2:10">
      <c r="B75"/>
      <c r="C75"/>
      <c r="D75"/>
      <c r="E75"/>
      <c r="F75"/>
      <c r="G75"/>
      <c r="H75"/>
      <c r="I75"/>
      <c r="J75"/>
    </row>
    <row r="76" spans="2:10">
      <c r="B76"/>
      <c r="C76"/>
      <c r="D76"/>
      <c r="E76"/>
      <c r="F76"/>
      <c r="G76"/>
      <c r="H76"/>
      <c r="I76"/>
      <c r="J76"/>
    </row>
    <row r="77" spans="2:10">
      <c r="B77"/>
      <c r="C77"/>
      <c r="D77"/>
      <c r="E77"/>
      <c r="F77"/>
      <c r="G77"/>
      <c r="H77"/>
      <c r="I77"/>
      <c r="J77"/>
    </row>
    <row r="78" spans="2:10">
      <c r="B78"/>
      <c r="C78"/>
      <c r="D78"/>
      <c r="E78"/>
      <c r="F78"/>
      <c r="G78"/>
      <c r="H78"/>
      <c r="I78"/>
      <c r="J78"/>
    </row>
    <row r="79" spans="2:10">
      <c r="B79"/>
      <c r="C79"/>
      <c r="D79"/>
      <c r="E79"/>
      <c r="F79"/>
      <c r="G79"/>
      <c r="H79"/>
      <c r="I79"/>
      <c r="J79"/>
    </row>
  </sheetData>
  <mergeCells count="5">
    <mergeCell ref="A2:B2"/>
    <mergeCell ref="A1:J1"/>
    <mergeCell ref="C2:J2"/>
    <mergeCell ref="G3:H3"/>
    <mergeCell ref="I3:J3"/>
  </mergeCells>
  <pageMargins left="0.51181102362204722" right="0" top="0.39370078740157483" bottom="0.19685039370078741" header="0.31496062992125984" footer="0.31496062992125984"/>
  <pageSetup paperSize="9" scale="64" orientation="landscape" horizontalDpi="1200" verticalDpi="1200" r:id="rId1"/>
  <headerFooter>
    <oddHeader>&amp;RBlatt 2h</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view="pageLayout" zoomScale="60" zoomScaleNormal="100" zoomScalePageLayoutView="60" workbookViewId="0">
      <selection activeCell="B10" sqref="B10"/>
    </sheetView>
  </sheetViews>
  <sheetFormatPr baseColWidth="10" defaultColWidth="0.5703125" defaultRowHeight="14.25"/>
  <cols>
    <col min="1" max="1" width="5.5703125" style="297" customWidth="1"/>
    <col min="2" max="2" width="48.42578125" style="125" customWidth="1"/>
    <col min="3" max="10" width="12.7109375" style="125" customWidth="1"/>
    <col min="11" max="11" width="1.85546875" style="125" customWidth="1"/>
    <col min="12" max="13" width="0.5703125" style="125"/>
    <col min="14" max="16384" width="0.5703125" style="297"/>
  </cols>
  <sheetData>
    <row r="1" spans="1:13" ht="18">
      <c r="A1" s="527" t="s">
        <v>84</v>
      </c>
      <c r="B1" s="528"/>
      <c r="C1" s="528"/>
      <c r="D1" s="528"/>
      <c r="E1" s="528"/>
      <c r="F1" s="528"/>
      <c r="G1" s="528"/>
      <c r="H1" s="528"/>
      <c r="I1" s="528"/>
      <c r="J1" s="529"/>
      <c r="K1" s="297"/>
      <c r="L1" s="297"/>
      <c r="M1" s="297"/>
    </row>
    <row r="2" spans="1:13" customFormat="1" ht="15.75" customHeight="1">
      <c r="A2" s="480" t="s">
        <v>157</v>
      </c>
      <c r="B2" s="503"/>
      <c r="C2" s="482" t="s">
        <v>4</v>
      </c>
      <c r="D2" s="482"/>
      <c r="E2" s="482"/>
      <c r="F2" s="482"/>
      <c r="G2" s="482"/>
      <c r="H2" s="482"/>
      <c r="I2" s="482"/>
      <c r="J2" s="507"/>
    </row>
    <row r="3" spans="1:13" customFormat="1" ht="15.75">
      <c r="A3" s="249"/>
      <c r="B3" s="298"/>
      <c r="C3" s="299"/>
      <c r="D3" s="299"/>
      <c r="E3" s="299"/>
      <c r="F3" s="299"/>
      <c r="G3" s="508" t="s">
        <v>8</v>
      </c>
      <c r="H3" s="509"/>
      <c r="I3" s="510" t="s">
        <v>9</v>
      </c>
      <c r="J3" s="509"/>
    </row>
    <row r="4" spans="1:13">
      <c r="A4" s="300" t="s">
        <v>19</v>
      </c>
      <c r="B4" s="301" t="s">
        <v>216</v>
      </c>
      <c r="C4" s="26" t="s">
        <v>11</v>
      </c>
      <c r="D4" s="26" t="s">
        <v>11</v>
      </c>
      <c r="E4" s="26" t="s">
        <v>12</v>
      </c>
      <c r="F4" s="26" t="s">
        <v>13</v>
      </c>
      <c r="G4" s="26" t="s">
        <v>18</v>
      </c>
      <c r="H4" s="26" t="s">
        <v>18</v>
      </c>
      <c r="I4" s="28" t="s">
        <v>18</v>
      </c>
      <c r="J4" s="29" t="s">
        <v>18</v>
      </c>
      <c r="K4" s="297"/>
      <c r="L4" s="297"/>
      <c r="M4" s="297"/>
    </row>
    <row r="5" spans="1:13" ht="12.75">
      <c r="A5" s="302"/>
      <c r="B5" s="303"/>
      <c r="C5" s="256">
        <v>2015</v>
      </c>
      <c r="D5" s="256">
        <v>2016</v>
      </c>
      <c r="E5" s="256">
        <v>2017</v>
      </c>
      <c r="F5" s="256">
        <v>2017</v>
      </c>
      <c r="G5" s="257">
        <v>2018</v>
      </c>
      <c r="H5" s="257">
        <v>2019</v>
      </c>
      <c r="I5" s="258">
        <v>2020</v>
      </c>
      <c r="J5" s="257">
        <v>2021</v>
      </c>
      <c r="K5" s="297"/>
      <c r="L5" s="297"/>
      <c r="M5" s="297"/>
    </row>
    <row r="6" spans="1:13" ht="12.75">
      <c r="A6" s="304">
        <v>1</v>
      </c>
      <c r="B6" s="305" t="s">
        <v>194</v>
      </c>
      <c r="C6" s="305"/>
      <c r="D6" s="305"/>
      <c r="E6" s="305"/>
      <c r="F6" s="305"/>
      <c r="G6" s="305"/>
      <c r="H6" s="305"/>
      <c r="I6" s="305"/>
      <c r="J6" s="305"/>
      <c r="K6" s="297"/>
      <c r="L6" s="297"/>
      <c r="M6" s="297"/>
    </row>
    <row r="7" spans="1:13" ht="12.75">
      <c r="A7" s="304">
        <v>2</v>
      </c>
      <c r="B7" s="305" t="s">
        <v>195</v>
      </c>
      <c r="C7" s="520" t="s">
        <v>196</v>
      </c>
      <c r="D7" s="521"/>
      <c r="E7" s="521"/>
      <c r="F7" s="521"/>
      <c r="G7" s="521"/>
      <c r="H7" s="521"/>
      <c r="I7" s="521"/>
      <c r="J7" s="522"/>
      <c r="K7" s="297"/>
      <c r="L7" s="297"/>
      <c r="M7" s="297"/>
    </row>
    <row r="8" spans="1:13" ht="12.75">
      <c r="A8" s="304">
        <v>3</v>
      </c>
      <c r="B8" s="306" t="s">
        <v>197</v>
      </c>
      <c r="C8" s="305"/>
      <c r="D8" s="305"/>
      <c r="E8" s="305"/>
      <c r="F8" s="305"/>
      <c r="G8" s="305"/>
      <c r="H8" s="305"/>
      <c r="I8" s="305"/>
      <c r="J8" s="305"/>
      <c r="K8" s="297"/>
      <c r="L8" s="297"/>
      <c r="M8" s="297"/>
    </row>
    <row r="9" spans="1:13" ht="12.75">
      <c r="A9" s="304">
        <v>4</v>
      </c>
      <c r="B9" s="307" t="s">
        <v>217</v>
      </c>
      <c r="C9" s="308">
        <v>433.27</v>
      </c>
      <c r="D9" s="308">
        <v>435.75</v>
      </c>
      <c r="E9" s="308">
        <v>459.41</v>
      </c>
      <c r="F9" s="308">
        <v>450.73</v>
      </c>
      <c r="G9" s="308">
        <v>454.9</v>
      </c>
      <c r="H9" s="308">
        <v>451.15</v>
      </c>
      <c r="I9" s="308">
        <v>439.85</v>
      </c>
      <c r="J9" s="308">
        <v>436.9</v>
      </c>
      <c r="K9" s="297"/>
      <c r="L9" s="297"/>
      <c r="M9" s="297"/>
    </row>
    <row r="10" spans="1:13" ht="12.75">
      <c r="A10" s="304">
        <v>5</v>
      </c>
      <c r="B10" s="309" t="s">
        <v>218</v>
      </c>
      <c r="C10" s="310"/>
      <c r="D10" s="310"/>
      <c r="E10" s="310"/>
      <c r="F10" s="310"/>
      <c r="G10" s="310"/>
      <c r="H10" s="310"/>
      <c r="I10" s="310"/>
      <c r="J10" s="310"/>
      <c r="K10" s="297"/>
      <c r="L10" s="297"/>
      <c r="M10" s="297"/>
    </row>
    <row r="11" spans="1:13" ht="25.5">
      <c r="A11" s="304">
        <v>6</v>
      </c>
      <c r="B11" s="311" t="s">
        <v>198</v>
      </c>
      <c r="C11" s="312">
        <v>4.59</v>
      </c>
      <c r="D11" s="313">
        <v>4.42</v>
      </c>
      <c r="E11" s="312">
        <v>3.51</v>
      </c>
      <c r="F11" s="313">
        <v>3.01</v>
      </c>
      <c r="G11" s="312">
        <v>3.34</v>
      </c>
      <c r="H11" s="313">
        <v>1.61</v>
      </c>
      <c r="I11" s="313">
        <v>0.35</v>
      </c>
      <c r="J11" s="312">
        <v>0</v>
      </c>
      <c r="K11" s="297"/>
      <c r="L11" s="297"/>
      <c r="M11" s="297"/>
    </row>
    <row r="12" spans="1:13" ht="12.75">
      <c r="A12" s="304">
        <v>8</v>
      </c>
      <c r="B12" s="314" t="s">
        <v>199</v>
      </c>
      <c r="C12" s="312">
        <v>5.5</v>
      </c>
      <c r="D12" s="312">
        <v>6.59</v>
      </c>
      <c r="E12" s="312">
        <v>7.59</v>
      </c>
      <c r="F12" s="312">
        <v>1.1599999999999999</v>
      </c>
      <c r="G12" s="312">
        <v>6.59</v>
      </c>
      <c r="H12" s="312">
        <v>6.59</v>
      </c>
      <c r="I12" s="312">
        <v>6</v>
      </c>
      <c r="J12" s="312">
        <v>6</v>
      </c>
      <c r="K12" s="297"/>
      <c r="L12" s="297"/>
      <c r="M12" s="297"/>
    </row>
    <row r="13" spans="1:13" ht="12.75">
      <c r="A13" s="304">
        <v>9</v>
      </c>
      <c r="B13" s="315" t="s">
        <v>200</v>
      </c>
      <c r="C13" s="305">
        <v>129.26</v>
      </c>
      <c r="D13" s="305">
        <v>131.05000000000001</v>
      </c>
      <c r="E13" s="305"/>
      <c r="F13" s="511"/>
      <c r="G13" s="512"/>
      <c r="H13" s="512"/>
      <c r="I13" s="512"/>
      <c r="J13" s="513"/>
      <c r="K13" s="297"/>
      <c r="L13" s="297"/>
      <c r="M13" s="297"/>
    </row>
    <row r="14" spans="1:13" ht="12.75">
      <c r="A14" s="304">
        <v>10</v>
      </c>
      <c r="B14" s="315" t="s">
        <v>201</v>
      </c>
      <c r="C14" s="305">
        <v>304.01</v>
      </c>
      <c r="D14" s="316">
        <v>304.7</v>
      </c>
      <c r="E14" s="305"/>
      <c r="F14" s="514"/>
      <c r="G14" s="515"/>
      <c r="H14" s="515"/>
      <c r="I14" s="515"/>
      <c r="J14" s="516"/>
      <c r="K14" s="297"/>
      <c r="L14" s="297"/>
      <c r="M14" s="297"/>
    </row>
    <row r="15" spans="1:13" ht="12.75">
      <c r="A15" s="304">
        <v>11</v>
      </c>
      <c r="B15" s="315" t="s">
        <v>202</v>
      </c>
      <c r="C15" s="305">
        <v>34.729999999999997</v>
      </c>
      <c r="D15" s="305">
        <v>31.33</v>
      </c>
      <c r="E15" s="305">
        <v>28.5</v>
      </c>
      <c r="F15" s="514"/>
      <c r="G15" s="515"/>
      <c r="H15" s="515"/>
      <c r="I15" s="515"/>
      <c r="J15" s="516"/>
      <c r="K15" s="297"/>
      <c r="L15" s="297"/>
      <c r="M15" s="297"/>
    </row>
    <row r="16" spans="1:13" ht="12.75">
      <c r="A16" s="304">
        <v>12</v>
      </c>
      <c r="B16" s="315" t="s">
        <v>203</v>
      </c>
      <c r="C16" s="305">
        <v>10.02</v>
      </c>
      <c r="D16" s="305">
        <v>11.93</v>
      </c>
      <c r="E16" s="305">
        <v>11.93</v>
      </c>
      <c r="F16" s="517"/>
      <c r="G16" s="518"/>
      <c r="H16" s="518"/>
      <c r="I16" s="518"/>
      <c r="J16" s="519"/>
      <c r="K16" s="297"/>
      <c r="L16" s="297"/>
      <c r="M16" s="297"/>
    </row>
    <row r="17" spans="1:13" ht="15" thickBot="1">
      <c r="A17" s="304">
        <v>13</v>
      </c>
      <c r="B17" s="306" t="s">
        <v>219</v>
      </c>
      <c r="C17" s="305">
        <v>23</v>
      </c>
      <c r="D17" s="305">
        <v>11</v>
      </c>
      <c r="E17" s="306">
        <v>10</v>
      </c>
      <c r="F17" s="306"/>
      <c r="G17" s="306"/>
      <c r="H17" s="306"/>
      <c r="I17" s="306"/>
      <c r="J17" s="306"/>
      <c r="M17" s="297"/>
    </row>
    <row r="18" spans="1:13">
      <c r="A18" s="304">
        <v>14</v>
      </c>
      <c r="B18" s="317" t="s">
        <v>205</v>
      </c>
      <c r="C18" s="318" t="s">
        <v>206</v>
      </c>
      <c r="D18" s="318" t="s">
        <v>207</v>
      </c>
      <c r="E18" s="318" t="s">
        <v>208</v>
      </c>
      <c r="F18" s="318" t="s">
        <v>209</v>
      </c>
      <c r="G18" s="318" t="s">
        <v>210</v>
      </c>
      <c r="H18" s="318" t="s">
        <v>211</v>
      </c>
      <c r="I18" s="319" t="s">
        <v>212</v>
      </c>
      <c r="J18" s="318" t="s">
        <v>213</v>
      </c>
      <c r="M18" s="297"/>
    </row>
    <row r="19" spans="1:13">
      <c r="A19" s="304">
        <v>15</v>
      </c>
      <c r="B19" s="305" t="s">
        <v>194</v>
      </c>
      <c r="C19" s="305"/>
      <c r="D19" s="305"/>
      <c r="E19" s="305"/>
      <c r="F19" s="305"/>
      <c r="G19" s="305"/>
      <c r="H19" s="305"/>
      <c r="I19" s="305"/>
      <c r="J19" s="305"/>
      <c r="M19" s="297"/>
    </row>
    <row r="20" spans="1:13">
      <c r="A20" s="304">
        <v>16</v>
      </c>
      <c r="B20" s="305" t="s">
        <v>195</v>
      </c>
      <c r="C20" s="520" t="s">
        <v>196</v>
      </c>
      <c r="D20" s="521"/>
      <c r="E20" s="521"/>
      <c r="F20" s="521"/>
      <c r="G20" s="521"/>
      <c r="H20" s="521"/>
      <c r="I20" s="521"/>
      <c r="J20" s="522"/>
      <c r="M20" s="297"/>
    </row>
    <row r="21" spans="1:13">
      <c r="A21" s="304">
        <v>17</v>
      </c>
      <c r="B21" s="306" t="s">
        <v>197</v>
      </c>
      <c r="C21" s="305"/>
      <c r="D21" s="305"/>
      <c r="E21" s="305"/>
      <c r="F21" s="305"/>
      <c r="G21" s="305"/>
      <c r="H21" s="305"/>
      <c r="I21" s="305"/>
      <c r="J21" s="305"/>
      <c r="M21" s="297"/>
    </row>
    <row r="22" spans="1:13">
      <c r="A22" s="304">
        <v>18</v>
      </c>
      <c r="B22" s="320" t="s">
        <v>214</v>
      </c>
      <c r="C22" s="321" t="s">
        <v>206</v>
      </c>
      <c r="D22" s="321" t="s">
        <v>207</v>
      </c>
      <c r="E22" s="321" t="s">
        <v>208</v>
      </c>
      <c r="F22" s="321" t="s">
        <v>209</v>
      </c>
      <c r="G22" s="321" t="s">
        <v>210</v>
      </c>
      <c r="H22" s="321" t="s">
        <v>211</v>
      </c>
      <c r="I22" s="322" t="s">
        <v>212</v>
      </c>
      <c r="J22" s="321" t="s">
        <v>213</v>
      </c>
      <c r="M22" s="297"/>
    </row>
    <row r="23" spans="1:13">
      <c r="A23" s="302">
        <v>19</v>
      </c>
      <c r="B23" s="306" t="s">
        <v>215</v>
      </c>
      <c r="C23" s="306"/>
      <c r="D23" s="306"/>
      <c r="E23" s="306"/>
      <c r="F23" s="306"/>
      <c r="G23" s="306"/>
      <c r="H23" s="306"/>
      <c r="I23" s="306"/>
      <c r="J23" s="306"/>
      <c r="M23" s="297"/>
    </row>
    <row r="24" spans="1:13">
      <c r="B24" s="323"/>
      <c r="C24" s="323"/>
      <c r="D24" s="323"/>
      <c r="E24" s="323"/>
      <c r="F24" s="323"/>
      <c r="G24" s="323"/>
      <c r="H24" s="323"/>
      <c r="I24" s="323"/>
      <c r="J24" s="323"/>
      <c r="M24" s="297"/>
    </row>
    <row r="25" spans="1:13">
      <c r="B25" s="523" t="s">
        <v>220</v>
      </c>
      <c r="C25" s="524"/>
      <c r="D25" s="524"/>
      <c r="E25" s="524"/>
      <c r="F25" s="524"/>
      <c r="G25" s="524"/>
      <c r="H25" s="524"/>
      <c r="I25" s="524"/>
      <c r="J25" s="524"/>
      <c r="K25" s="126"/>
      <c r="L25" s="126"/>
      <c r="M25" s="297"/>
    </row>
    <row r="26" spans="1:13" ht="19.5" customHeight="1">
      <c r="B26" s="525" t="s">
        <v>221</v>
      </c>
      <c r="C26" s="526"/>
      <c r="D26" s="526"/>
      <c r="E26" s="526"/>
      <c r="F26" s="526"/>
      <c r="G26" s="526"/>
      <c r="H26" s="526"/>
      <c r="I26" s="526"/>
      <c r="J26" s="526"/>
      <c r="M26" s="297"/>
    </row>
    <row r="27" spans="1:13">
      <c r="B27" s="526"/>
      <c r="C27" s="526"/>
      <c r="D27" s="526"/>
      <c r="E27" s="526"/>
      <c r="F27" s="526"/>
      <c r="G27" s="526"/>
      <c r="H27" s="526"/>
      <c r="I27" s="526"/>
      <c r="J27" s="526"/>
      <c r="M27" s="297"/>
    </row>
    <row r="32" spans="1:13">
      <c r="B32" s="324"/>
      <c r="M32" s="297"/>
    </row>
  </sheetData>
  <mergeCells count="10">
    <mergeCell ref="F13:J16"/>
    <mergeCell ref="C20:J20"/>
    <mergeCell ref="B25:J25"/>
    <mergeCell ref="B26:J27"/>
    <mergeCell ref="A1:J1"/>
    <mergeCell ref="A2:B2"/>
    <mergeCell ref="C2:J2"/>
    <mergeCell ref="G3:H3"/>
    <mergeCell ref="I3:J3"/>
    <mergeCell ref="C7:J7"/>
  </mergeCells>
  <pageMargins left="0.70866141732283472" right="0.70866141732283472" top="0.78740157480314965" bottom="0.78740157480314965" header="0.31496062992125984" footer="0.31496062992125984"/>
  <pageSetup paperSize="9" scale="85"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
  <sheetViews>
    <sheetView view="pageLayout" zoomScale="60" zoomScaleNormal="100" zoomScalePageLayoutView="60" workbookViewId="0">
      <selection activeCell="B4" sqref="B4"/>
    </sheetView>
  </sheetViews>
  <sheetFormatPr baseColWidth="10" defaultRowHeight="12.75"/>
  <cols>
    <col min="1" max="1" width="4.140625" style="325" customWidth="1"/>
    <col min="2" max="2" width="53.28515625" style="325" customWidth="1"/>
    <col min="3" max="7" width="15.7109375" style="325" customWidth="1"/>
    <col min="8" max="252" width="11.42578125" style="325"/>
    <col min="253" max="253" width="4.140625" style="325" customWidth="1"/>
    <col min="254" max="254" width="27.28515625" style="325" customWidth="1"/>
    <col min="255" max="259" width="11.7109375" style="325" customWidth="1"/>
    <col min="260" max="260" width="12.140625" style="325" customWidth="1"/>
    <col min="261" max="508" width="11.42578125" style="325"/>
    <col min="509" max="509" width="4.140625" style="325" customWidth="1"/>
    <col min="510" max="510" width="27.28515625" style="325" customWidth="1"/>
    <col min="511" max="515" width="11.7109375" style="325" customWidth="1"/>
    <col min="516" max="516" width="12.140625" style="325" customWidth="1"/>
    <col min="517" max="764" width="11.42578125" style="325"/>
    <col min="765" max="765" width="4.140625" style="325" customWidth="1"/>
    <col min="766" max="766" width="27.28515625" style="325" customWidth="1"/>
    <col min="767" max="771" width="11.7109375" style="325" customWidth="1"/>
    <col min="772" max="772" width="12.140625" style="325" customWidth="1"/>
    <col min="773" max="1020" width="11.42578125" style="325"/>
    <col min="1021" max="1021" width="4.140625" style="325" customWidth="1"/>
    <col min="1022" max="1022" width="27.28515625" style="325" customWidth="1"/>
    <col min="1023" max="1027" width="11.7109375" style="325" customWidth="1"/>
    <col min="1028" max="1028" width="12.140625" style="325" customWidth="1"/>
    <col min="1029" max="1276" width="11.42578125" style="325"/>
    <col min="1277" max="1277" width="4.140625" style="325" customWidth="1"/>
    <col min="1278" max="1278" width="27.28515625" style="325" customWidth="1"/>
    <col min="1279" max="1283" width="11.7109375" style="325" customWidth="1"/>
    <col min="1284" max="1284" width="12.140625" style="325" customWidth="1"/>
    <col min="1285" max="1532" width="11.42578125" style="325"/>
    <col min="1533" max="1533" width="4.140625" style="325" customWidth="1"/>
    <col min="1534" max="1534" width="27.28515625" style="325" customWidth="1"/>
    <col min="1535" max="1539" width="11.7109375" style="325" customWidth="1"/>
    <col min="1540" max="1540" width="12.140625" style="325" customWidth="1"/>
    <col min="1541" max="1788" width="11.42578125" style="325"/>
    <col min="1789" max="1789" width="4.140625" style="325" customWidth="1"/>
    <col min="1790" max="1790" width="27.28515625" style="325" customWidth="1"/>
    <col min="1791" max="1795" width="11.7109375" style="325" customWidth="1"/>
    <col min="1796" max="1796" width="12.140625" style="325" customWidth="1"/>
    <col min="1797" max="2044" width="11.42578125" style="325"/>
    <col min="2045" max="2045" width="4.140625" style="325" customWidth="1"/>
    <col min="2046" max="2046" width="27.28515625" style="325" customWidth="1"/>
    <col min="2047" max="2051" width="11.7109375" style="325" customWidth="1"/>
    <col min="2052" max="2052" width="12.140625" style="325" customWidth="1"/>
    <col min="2053" max="2300" width="11.42578125" style="325"/>
    <col min="2301" max="2301" width="4.140625" style="325" customWidth="1"/>
    <col min="2302" max="2302" width="27.28515625" style="325" customWidth="1"/>
    <col min="2303" max="2307" width="11.7109375" style="325" customWidth="1"/>
    <col min="2308" max="2308" width="12.140625" style="325" customWidth="1"/>
    <col min="2309" max="2556" width="11.42578125" style="325"/>
    <col min="2557" max="2557" width="4.140625" style="325" customWidth="1"/>
    <col min="2558" max="2558" width="27.28515625" style="325" customWidth="1"/>
    <col min="2559" max="2563" width="11.7109375" style="325" customWidth="1"/>
    <col min="2564" max="2564" width="12.140625" style="325" customWidth="1"/>
    <col min="2565" max="2812" width="11.42578125" style="325"/>
    <col min="2813" max="2813" width="4.140625" style="325" customWidth="1"/>
    <col min="2814" max="2814" width="27.28515625" style="325" customWidth="1"/>
    <col min="2815" max="2819" width="11.7109375" style="325" customWidth="1"/>
    <col min="2820" max="2820" width="12.140625" style="325" customWidth="1"/>
    <col min="2821" max="3068" width="11.42578125" style="325"/>
    <col min="3069" max="3069" width="4.140625" style="325" customWidth="1"/>
    <col min="3070" max="3070" width="27.28515625" style="325" customWidth="1"/>
    <col min="3071" max="3075" width="11.7109375" style="325" customWidth="1"/>
    <col min="3076" max="3076" width="12.140625" style="325" customWidth="1"/>
    <col min="3077" max="3324" width="11.42578125" style="325"/>
    <col min="3325" max="3325" width="4.140625" style="325" customWidth="1"/>
    <col min="3326" max="3326" width="27.28515625" style="325" customWidth="1"/>
    <col min="3327" max="3331" width="11.7109375" style="325" customWidth="1"/>
    <col min="3332" max="3332" width="12.140625" style="325" customWidth="1"/>
    <col min="3333" max="3580" width="11.42578125" style="325"/>
    <col min="3581" max="3581" width="4.140625" style="325" customWidth="1"/>
    <col min="3582" max="3582" width="27.28515625" style="325" customWidth="1"/>
    <col min="3583" max="3587" width="11.7109375" style="325" customWidth="1"/>
    <col min="3588" max="3588" width="12.140625" style="325" customWidth="1"/>
    <col min="3589" max="3836" width="11.42578125" style="325"/>
    <col min="3837" max="3837" width="4.140625" style="325" customWidth="1"/>
    <col min="3838" max="3838" width="27.28515625" style="325" customWidth="1"/>
    <col min="3839" max="3843" width="11.7109375" style="325" customWidth="1"/>
    <col min="3844" max="3844" width="12.140625" style="325" customWidth="1"/>
    <col min="3845" max="4092" width="11.42578125" style="325"/>
    <col min="4093" max="4093" width="4.140625" style="325" customWidth="1"/>
    <col min="4094" max="4094" width="27.28515625" style="325" customWidth="1"/>
    <col min="4095" max="4099" width="11.7109375" style="325" customWidth="1"/>
    <col min="4100" max="4100" width="12.140625" style="325" customWidth="1"/>
    <col min="4101" max="4348" width="11.42578125" style="325"/>
    <col min="4349" max="4349" width="4.140625" style="325" customWidth="1"/>
    <col min="4350" max="4350" width="27.28515625" style="325" customWidth="1"/>
    <col min="4351" max="4355" width="11.7109375" style="325" customWidth="1"/>
    <col min="4356" max="4356" width="12.140625" style="325" customWidth="1"/>
    <col min="4357" max="4604" width="11.42578125" style="325"/>
    <col min="4605" max="4605" width="4.140625" style="325" customWidth="1"/>
    <col min="4606" max="4606" width="27.28515625" style="325" customWidth="1"/>
    <col min="4607" max="4611" width="11.7109375" style="325" customWidth="1"/>
    <col min="4612" max="4612" width="12.140625" style="325" customWidth="1"/>
    <col min="4613" max="4860" width="11.42578125" style="325"/>
    <col min="4861" max="4861" width="4.140625" style="325" customWidth="1"/>
    <col min="4862" max="4862" width="27.28515625" style="325" customWidth="1"/>
    <col min="4863" max="4867" width="11.7109375" style="325" customWidth="1"/>
    <col min="4868" max="4868" width="12.140625" style="325" customWidth="1"/>
    <col min="4869" max="5116" width="11.42578125" style="325"/>
    <col min="5117" max="5117" width="4.140625" style="325" customWidth="1"/>
    <col min="5118" max="5118" width="27.28515625" style="325" customWidth="1"/>
    <col min="5119" max="5123" width="11.7109375" style="325" customWidth="1"/>
    <col min="5124" max="5124" width="12.140625" style="325" customWidth="1"/>
    <col min="5125" max="5372" width="11.42578125" style="325"/>
    <col min="5373" max="5373" width="4.140625" style="325" customWidth="1"/>
    <col min="5374" max="5374" width="27.28515625" style="325" customWidth="1"/>
    <col min="5375" max="5379" width="11.7109375" style="325" customWidth="1"/>
    <col min="5380" max="5380" width="12.140625" style="325" customWidth="1"/>
    <col min="5381" max="5628" width="11.42578125" style="325"/>
    <col min="5629" max="5629" width="4.140625" style="325" customWidth="1"/>
    <col min="5630" max="5630" width="27.28515625" style="325" customWidth="1"/>
    <col min="5631" max="5635" width="11.7109375" style="325" customWidth="1"/>
    <col min="5636" max="5636" width="12.140625" style="325" customWidth="1"/>
    <col min="5637" max="5884" width="11.42578125" style="325"/>
    <col min="5885" max="5885" width="4.140625" style="325" customWidth="1"/>
    <col min="5886" max="5886" width="27.28515625" style="325" customWidth="1"/>
    <col min="5887" max="5891" width="11.7109375" style="325" customWidth="1"/>
    <col min="5892" max="5892" width="12.140625" style="325" customWidth="1"/>
    <col min="5893" max="6140" width="11.42578125" style="325"/>
    <col min="6141" max="6141" width="4.140625" style="325" customWidth="1"/>
    <col min="6142" max="6142" width="27.28515625" style="325" customWidth="1"/>
    <col min="6143" max="6147" width="11.7109375" style="325" customWidth="1"/>
    <col min="6148" max="6148" width="12.140625" style="325" customWidth="1"/>
    <col min="6149" max="6396" width="11.42578125" style="325"/>
    <col min="6397" max="6397" width="4.140625" style="325" customWidth="1"/>
    <col min="6398" max="6398" width="27.28515625" style="325" customWidth="1"/>
    <col min="6399" max="6403" width="11.7109375" style="325" customWidth="1"/>
    <col min="6404" max="6404" width="12.140625" style="325" customWidth="1"/>
    <col min="6405" max="6652" width="11.42578125" style="325"/>
    <col min="6653" max="6653" width="4.140625" style="325" customWidth="1"/>
    <col min="6654" max="6654" width="27.28515625" style="325" customWidth="1"/>
    <col min="6655" max="6659" width="11.7109375" style="325" customWidth="1"/>
    <col min="6660" max="6660" width="12.140625" style="325" customWidth="1"/>
    <col min="6661" max="6908" width="11.42578125" style="325"/>
    <col min="6909" max="6909" width="4.140625" style="325" customWidth="1"/>
    <col min="6910" max="6910" width="27.28515625" style="325" customWidth="1"/>
    <col min="6911" max="6915" width="11.7109375" style="325" customWidth="1"/>
    <col min="6916" max="6916" width="12.140625" style="325" customWidth="1"/>
    <col min="6917" max="7164" width="11.42578125" style="325"/>
    <col min="7165" max="7165" width="4.140625" style="325" customWidth="1"/>
    <col min="7166" max="7166" width="27.28515625" style="325" customWidth="1"/>
    <col min="7167" max="7171" width="11.7109375" style="325" customWidth="1"/>
    <col min="7172" max="7172" width="12.140625" style="325" customWidth="1"/>
    <col min="7173" max="7420" width="11.42578125" style="325"/>
    <col min="7421" max="7421" width="4.140625" style="325" customWidth="1"/>
    <col min="7422" max="7422" width="27.28515625" style="325" customWidth="1"/>
    <col min="7423" max="7427" width="11.7109375" style="325" customWidth="1"/>
    <col min="7428" max="7428" width="12.140625" style="325" customWidth="1"/>
    <col min="7429" max="7676" width="11.42578125" style="325"/>
    <col min="7677" max="7677" width="4.140625" style="325" customWidth="1"/>
    <col min="7678" max="7678" width="27.28515625" style="325" customWidth="1"/>
    <col min="7679" max="7683" width="11.7109375" style="325" customWidth="1"/>
    <col min="7684" max="7684" width="12.140625" style="325" customWidth="1"/>
    <col min="7685" max="7932" width="11.42578125" style="325"/>
    <col min="7933" max="7933" width="4.140625" style="325" customWidth="1"/>
    <col min="7934" max="7934" width="27.28515625" style="325" customWidth="1"/>
    <col min="7935" max="7939" width="11.7109375" style="325" customWidth="1"/>
    <col min="7940" max="7940" width="12.140625" style="325" customWidth="1"/>
    <col min="7941" max="8188" width="11.42578125" style="325"/>
    <col min="8189" max="8189" width="4.140625" style="325" customWidth="1"/>
    <col min="8190" max="8190" width="27.28515625" style="325" customWidth="1"/>
    <col min="8191" max="8195" width="11.7109375" style="325" customWidth="1"/>
    <col min="8196" max="8196" width="12.140625" style="325" customWidth="1"/>
    <col min="8197" max="8444" width="11.42578125" style="325"/>
    <col min="8445" max="8445" width="4.140625" style="325" customWidth="1"/>
    <col min="8446" max="8446" width="27.28515625" style="325" customWidth="1"/>
    <col min="8447" max="8451" width="11.7109375" style="325" customWidth="1"/>
    <col min="8452" max="8452" width="12.140625" style="325" customWidth="1"/>
    <col min="8453" max="8700" width="11.42578125" style="325"/>
    <col min="8701" max="8701" width="4.140625" style="325" customWidth="1"/>
    <col min="8702" max="8702" width="27.28515625" style="325" customWidth="1"/>
    <col min="8703" max="8707" width="11.7109375" style="325" customWidth="1"/>
    <col min="8708" max="8708" width="12.140625" style="325" customWidth="1"/>
    <col min="8709" max="8956" width="11.42578125" style="325"/>
    <col min="8957" max="8957" width="4.140625" style="325" customWidth="1"/>
    <col min="8958" max="8958" width="27.28515625" style="325" customWidth="1"/>
    <col min="8959" max="8963" width="11.7109375" style="325" customWidth="1"/>
    <col min="8964" max="8964" width="12.140625" style="325" customWidth="1"/>
    <col min="8965" max="9212" width="11.42578125" style="325"/>
    <col min="9213" max="9213" width="4.140625" style="325" customWidth="1"/>
    <col min="9214" max="9214" width="27.28515625" style="325" customWidth="1"/>
    <col min="9215" max="9219" width="11.7109375" style="325" customWidth="1"/>
    <col min="9220" max="9220" width="12.140625" style="325" customWidth="1"/>
    <col min="9221" max="9468" width="11.42578125" style="325"/>
    <col min="9469" max="9469" width="4.140625" style="325" customWidth="1"/>
    <col min="9470" max="9470" width="27.28515625" style="325" customWidth="1"/>
    <col min="9471" max="9475" width="11.7109375" style="325" customWidth="1"/>
    <col min="9476" max="9476" width="12.140625" style="325" customWidth="1"/>
    <col min="9477" max="9724" width="11.42578125" style="325"/>
    <col min="9725" max="9725" width="4.140625" style="325" customWidth="1"/>
    <col min="9726" max="9726" width="27.28515625" style="325" customWidth="1"/>
    <col min="9727" max="9731" width="11.7109375" style="325" customWidth="1"/>
    <col min="9732" max="9732" width="12.140625" style="325" customWidth="1"/>
    <col min="9733" max="9980" width="11.42578125" style="325"/>
    <col min="9981" max="9981" width="4.140625" style="325" customWidth="1"/>
    <col min="9982" max="9982" width="27.28515625" style="325" customWidth="1"/>
    <col min="9983" max="9987" width="11.7109375" style="325" customWidth="1"/>
    <col min="9988" max="9988" width="12.140625" style="325" customWidth="1"/>
    <col min="9989" max="10236" width="11.42578125" style="325"/>
    <col min="10237" max="10237" width="4.140625" style="325" customWidth="1"/>
    <col min="10238" max="10238" width="27.28515625" style="325" customWidth="1"/>
    <col min="10239" max="10243" width="11.7109375" style="325" customWidth="1"/>
    <col min="10244" max="10244" width="12.140625" style="325" customWidth="1"/>
    <col min="10245" max="10492" width="11.42578125" style="325"/>
    <col min="10493" max="10493" width="4.140625" style="325" customWidth="1"/>
    <col min="10494" max="10494" width="27.28515625" style="325" customWidth="1"/>
    <col min="10495" max="10499" width="11.7109375" style="325" customWidth="1"/>
    <col min="10500" max="10500" width="12.140625" style="325" customWidth="1"/>
    <col min="10501" max="10748" width="11.42578125" style="325"/>
    <col min="10749" max="10749" width="4.140625" style="325" customWidth="1"/>
    <col min="10750" max="10750" width="27.28515625" style="325" customWidth="1"/>
    <col min="10751" max="10755" width="11.7109375" style="325" customWidth="1"/>
    <col min="10756" max="10756" width="12.140625" style="325" customWidth="1"/>
    <col min="10757" max="11004" width="11.42578125" style="325"/>
    <col min="11005" max="11005" width="4.140625" style="325" customWidth="1"/>
    <col min="11006" max="11006" width="27.28515625" style="325" customWidth="1"/>
    <col min="11007" max="11011" width="11.7109375" style="325" customWidth="1"/>
    <col min="11012" max="11012" width="12.140625" style="325" customWidth="1"/>
    <col min="11013" max="11260" width="11.42578125" style="325"/>
    <col min="11261" max="11261" width="4.140625" style="325" customWidth="1"/>
    <col min="11262" max="11262" width="27.28515625" style="325" customWidth="1"/>
    <col min="11263" max="11267" width="11.7109375" style="325" customWidth="1"/>
    <col min="11268" max="11268" width="12.140625" style="325" customWidth="1"/>
    <col min="11269" max="11516" width="11.42578125" style="325"/>
    <col min="11517" max="11517" width="4.140625" style="325" customWidth="1"/>
    <col min="11518" max="11518" width="27.28515625" style="325" customWidth="1"/>
    <col min="11519" max="11523" width="11.7109375" style="325" customWidth="1"/>
    <col min="11524" max="11524" width="12.140625" style="325" customWidth="1"/>
    <col min="11525" max="11772" width="11.42578125" style="325"/>
    <col min="11773" max="11773" width="4.140625" style="325" customWidth="1"/>
    <col min="11774" max="11774" width="27.28515625" style="325" customWidth="1"/>
    <col min="11775" max="11779" width="11.7109375" style="325" customWidth="1"/>
    <col min="11780" max="11780" width="12.140625" style="325" customWidth="1"/>
    <col min="11781" max="12028" width="11.42578125" style="325"/>
    <col min="12029" max="12029" width="4.140625" style="325" customWidth="1"/>
    <col min="12030" max="12030" width="27.28515625" style="325" customWidth="1"/>
    <col min="12031" max="12035" width="11.7109375" style="325" customWidth="1"/>
    <col min="12036" max="12036" width="12.140625" style="325" customWidth="1"/>
    <col min="12037" max="12284" width="11.42578125" style="325"/>
    <col min="12285" max="12285" width="4.140625" style="325" customWidth="1"/>
    <col min="12286" max="12286" width="27.28515625" style="325" customWidth="1"/>
    <col min="12287" max="12291" width="11.7109375" style="325" customWidth="1"/>
    <col min="12292" max="12292" width="12.140625" style="325" customWidth="1"/>
    <col min="12293" max="12540" width="11.42578125" style="325"/>
    <col min="12541" max="12541" width="4.140625" style="325" customWidth="1"/>
    <col min="12542" max="12542" width="27.28515625" style="325" customWidth="1"/>
    <col min="12543" max="12547" width="11.7109375" style="325" customWidth="1"/>
    <col min="12548" max="12548" width="12.140625" style="325" customWidth="1"/>
    <col min="12549" max="12796" width="11.42578125" style="325"/>
    <col min="12797" max="12797" width="4.140625" style="325" customWidth="1"/>
    <col min="12798" max="12798" width="27.28515625" style="325" customWidth="1"/>
    <col min="12799" max="12803" width="11.7109375" style="325" customWidth="1"/>
    <col min="12804" max="12804" width="12.140625" style="325" customWidth="1"/>
    <col min="12805" max="13052" width="11.42578125" style="325"/>
    <col min="13053" max="13053" width="4.140625" style="325" customWidth="1"/>
    <col min="13054" max="13054" width="27.28515625" style="325" customWidth="1"/>
    <col min="13055" max="13059" width="11.7109375" style="325" customWidth="1"/>
    <col min="13060" max="13060" width="12.140625" style="325" customWidth="1"/>
    <col min="13061" max="13308" width="11.42578125" style="325"/>
    <col min="13309" max="13309" width="4.140625" style="325" customWidth="1"/>
    <col min="13310" max="13310" width="27.28515625" style="325" customWidth="1"/>
    <col min="13311" max="13315" width="11.7109375" style="325" customWidth="1"/>
    <col min="13316" max="13316" width="12.140625" style="325" customWidth="1"/>
    <col min="13317" max="13564" width="11.42578125" style="325"/>
    <col min="13565" max="13565" width="4.140625" style="325" customWidth="1"/>
    <col min="13566" max="13566" width="27.28515625" style="325" customWidth="1"/>
    <col min="13567" max="13571" width="11.7109375" style="325" customWidth="1"/>
    <col min="13572" max="13572" width="12.140625" style="325" customWidth="1"/>
    <col min="13573" max="13820" width="11.42578125" style="325"/>
    <col min="13821" max="13821" width="4.140625" style="325" customWidth="1"/>
    <col min="13822" max="13822" width="27.28515625" style="325" customWidth="1"/>
    <col min="13823" max="13827" width="11.7109375" style="325" customWidth="1"/>
    <col min="13828" max="13828" width="12.140625" style="325" customWidth="1"/>
    <col min="13829" max="14076" width="11.42578125" style="325"/>
    <col min="14077" max="14077" width="4.140625" style="325" customWidth="1"/>
    <col min="14078" max="14078" width="27.28515625" style="325" customWidth="1"/>
    <col min="14079" max="14083" width="11.7109375" style="325" customWidth="1"/>
    <col min="14084" max="14084" width="12.140625" style="325" customWidth="1"/>
    <col min="14085" max="14332" width="11.42578125" style="325"/>
    <col min="14333" max="14333" width="4.140625" style="325" customWidth="1"/>
    <col min="14334" max="14334" width="27.28515625" style="325" customWidth="1"/>
    <col min="14335" max="14339" width="11.7109375" style="325" customWidth="1"/>
    <col min="14340" max="14340" width="12.140625" style="325" customWidth="1"/>
    <col min="14341" max="14588" width="11.42578125" style="325"/>
    <col min="14589" max="14589" width="4.140625" style="325" customWidth="1"/>
    <col min="14590" max="14590" width="27.28515625" style="325" customWidth="1"/>
    <col min="14591" max="14595" width="11.7109375" style="325" customWidth="1"/>
    <col min="14596" max="14596" width="12.140625" style="325" customWidth="1"/>
    <col min="14597" max="14844" width="11.42578125" style="325"/>
    <col min="14845" max="14845" width="4.140625" style="325" customWidth="1"/>
    <col min="14846" max="14846" width="27.28515625" style="325" customWidth="1"/>
    <col min="14847" max="14851" width="11.7109375" style="325" customWidth="1"/>
    <col min="14852" max="14852" width="12.140625" style="325" customWidth="1"/>
    <col min="14853" max="15100" width="11.42578125" style="325"/>
    <col min="15101" max="15101" width="4.140625" style="325" customWidth="1"/>
    <col min="15102" max="15102" width="27.28515625" style="325" customWidth="1"/>
    <col min="15103" max="15107" width="11.7109375" style="325" customWidth="1"/>
    <col min="15108" max="15108" width="12.140625" style="325" customWidth="1"/>
    <col min="15109" max="15356" width="11.42578125" style="325"/>
    <col min="15357" max="15357" width="4.140625" style="325" customWidth="1"/>
    <col min="15358" max="15358" width="27.28515625" style="325" customWidth="1"/>
    <col min="15359" max="15363" width="11.7109375" style="325" customWidth="1"/>
    <col min="15364" max="15364" width="12.140625" style="325" customWidth="1"/>
    <col min="15365" max="15612" width="11.42578125" style="325"/>
    <col min="15613" max="15613" width="4.140625" style="325" customWidth="1"/>
    <col min="15614" max="15614" width="27.28515625" style="325" customWidth="1"/>
    <col min="15615" max="15619" width="11.7109375" style="325" customWidth="1"/>
    <col min="15620" max="15620" width="12.140625" style="325" customWidth="1"/>
    <col min="15621" max="15868" width="11.42578125" style="325"/>
    <col min="15869" max="15869" width="4.140625" style="325" customWidth="1"/>
    <col min="15870" max="15870" width="27.28515625" style="325" customWidth="1"/>
    <col min="15871" max="15875" width="11.7109375" style="325" customWidth="1"/>
    <col min="15876" max="15876" width="12.140625" style="325" customWidth="1"/>
    <col min="15877" max="16124" width="11.42578125" style="325"/>
    <col min="16125" max="16125" width="4.140625" style="325" customWidth="1"/>
    <col min="16126" max="16126" width="27.28515625" style="325" customWidth="1"/>
    <col min="16127" max="16131" width="11.7109375" style="325" customWidth="1"/>
    <col min="16132" max="16132" width="12.140625" style="325" customWidth="1"/>
    <col min="16133" max="16382" width="11.42578125" style="325"/>
    <col min="16383" max="16383" width="11.42578125" style="325" customWidth="1"/>
    <col min="16384" max="16384" width="11.42578125" style="325"/>
  </cols>
  <sheetData>
    <row r="1" spans="1:7" ht="15.75" customHeight="1">
      <c r="B1" s="247" t="s">
        <v>222</v>
      </c>
      <c r="C1" s="100"/>
      <c r="D1" s="100"/>
      <c r="E1" s="100"/>
      <c r="F1" s="100"/>
      <c r="G1" s="326" t="s">
        <v>223</v>
      </c>
    </row>
    <row r="2" spans="1:7" ht="20.100000000000001" customHeight="1">
      <c r="B2" s="327"/>
      <c r="C2" s="327"/>
      <c r="D2" s="327"/>
      <c r="E2" s="327"/>
      <c r="F2" s="328"/>
      <c r="G2" s="329"/>
    </row>
    <row r="3" spans="1:7" ht="20.100000000000001" customHeight="1">
      <c r="A3" s="330"/>
      <c r="B3" s="331" t="s">
        <v>224</v>
      </c>
      <c r="C3" s="332"/>
      <c r="D3" s="333"/>
      <c r="E3" s="333"/>
      <c r="F3" s="334"/>
      <c r="G3" s="334"/>
    </row>
    <row r="4" spans="1:7" ht="29.25" customHeight="1">
      <c r="A4" s="335"/>
      <c r="B4" s="336"/>
      <c r="C4" s="337"/>
      <c r="D4" s="532" t="s">
        <v>8</v>
      </c>
      <c r="E4" s="533"/>
      <c r="F4" s="534" t="s">
        <v>9</v>
      </c>
      <c r="G4" s="534"/>
    </row>
    <row r="5" spans="1:7" ht="31.5" customHeight="1">
      <c r="A5" s="338" t="s">
        <v>19</v>
      </c>
      <c r="B5" s="339" t="s">
        <v>241</v>
      </c>
      <c r="C5" s="340" t="s">
        <v>225</v>
      </c>
      <c r="D5" s="341" t="s">
        <v>226</v>
      </c>
      <c r="E5" s="341" t="s">
        <v>227</v>
      </c>
      <c r="F5" s="342" t="s">
        <v>228</v>
      </c>
      <c r="G5" s="342" t="s">
        <v>229</v>
      </c>
    </row>
    <row r="6" spans="1:7" ht="20.100000000000001" customHeight="1">
      <c r="A6" s="343">
        <v>1</v>
      </c>
      <c r="B6" s="344" t="s">
        <v>230</v>
      </c>
      <c r="C6" s="344">
        <v>22.69</v>
      </c>
      <c r="D6" s="344">
        <v>22.69</v>
      </c>
      <c r="E6" s="345">
        <v>22.69</v>
      </c>
      <c r="F6" s="345">
        <v>18.690000000000001</v>
      </c>
      <c r="G6" s="345">
        <v>18.690000000000001</v>
      </c>
    </row>
    <row r="7" spans="1:7" ht="20.100000000000001" customHeight="1">
      <c r="A7" s="343">
        <v>2</v>
      </c>
      <c r="B7" s="346" t="s">
        <v>231</v>
      </c>
      <c r="C7" s="345">
        <v>0.75</v>
      </c>
      <c r="D7" s="345">
        <v>0.75</v>
      </c>
      <c r="E7" s="345">
        <v>0.75</v>
      </c>
      <c r="F7" s="345">
        <v>0.75</v>
      </c>
      <c r="G7" s="345">
        <v>0.75</v>
      </c>
    </row>
    <row r="8" spans="1:7" ht="39" customHeight="1">
      <c r="A8" s="347">
        <v>3</v>
      </c>
      <c r="B8" s="348" t="s">
        <v>242</v>
      </c>
      <c r="C8" s="349">
        <f>SUM(C6:C7)</f>
        <v>23.44</v>
      </c>
      <c r="D8" s="349">
        <f>SUM(D6:D7)</f>
        <v>23.44</v>
      </c>
      <c r="E8" s="349">
        <f t="shared" ref="E8:G8" si="0">SUM(E6:E7)</f>
        <v>23.44</v>
      </c>
      <c r="F8" s="349">
        <f t="shared" si="0"/>
        <v>19.440000000000001</v>
      </c>
      <c r="G8" s="349">
        <f t="shared" si="0"/>
        <v>19.440000000000001</v>
      </c>
    </row>
    <row r="9" spans="1:7" ht="21" customHeight="1">
      <c r="A9" s="350">
        <v>4</v>
      </c>
      <c r="B9" s="351" t="s">
        <v>204</v>
      </c>
      <c r="C9" s="352"/>
      <c r="D9" s="352"/>
      <c r="E9" s="352"/>
      <c r="F9" s="352"/>
      <c r="G9" s="352"/>
    </row>
    <row r="10" spans="1:7" ht="20.100000000000001" customHeight="1">
      <c r="A10" s="330"/>
      <c r="B10" s="530" t="s">
        <v>232</v>
      </c>
      <c r="C10" s="530"/>
      <c r="D10" s="530"/>
      <c r="E10" s="530"/>
      <c r="F10" s="530"/>
      <c r="G10" s="531"/>
    </row>
    <row r="11" spans="1:7" ht="27" customHeight="1">
      <c r="A11" s="353"/>
      <c r="B11" s="336"/>
      <c r="C11" s="337"/>
      <c r="D11" s="532" t="s">
        <v>8</v>
      </c>
      <c r="E11" s="533"/>
      <c r="F11" s="534" t="s">
        <v>9</v>
      </c>
      <c r="G11" s="534"/>
    </row>
    <row r="12" spans="1:7" ht="31.5" customHeight="1">
      <c r="A12" s="338" t="s">
        <v>19</v>
      </c>
      <c r="B12" s="339" t="s">
        <v>241</v>
      </c>
      <c r="C12" s="340" t="s">
        <v>225</v>
      </c>
      <c r="D12" s="341" t="s">
        <v>226</v>
      </c>
      <c r="E12" s="341" t="s">
        <v>227</v>
      </c>
      <c r="F12" s="342" t="s">
        <v>228</v>
      </c>
      <c r="G12" s="342" t="s">
        <v>229</v>
      </c>
    </row>
    <row r="13" spans="1:7" ht="20.100000000000001" customHeight="1">
      <c r="A13" s="343">
        <v>1</v>
      </c>
      <c r="B13" s="344" t="s">
        <v>230</v>
      </c>
      <c r="C13" s="344">
        <v>163.03</v>
      </c>
      <c r="D13" s="344">
        <v>162.03</v>
      </c>
      <c r="E13" s="344">
        <v>160.03</v>
      </c>
      <c r="F13" s="344">
        <v>158.77000000000001</v>
      </c>
      <c r="G13" s="344">
        <v>156.82</v>
      </c>
    </row>
    <row r="14" spans="1:7" ht="20.100000000000001" customHeight="1">
      <c r="A14" s="343">
        <v>2</v>
      </c>
      <c r="B14" s="346" t="s">
        <v>231</v>
      </c>
      <c r="C14" s="345">
        <v>1</v>
      </c>
      <c r="D14" s="345">
        <v>1</v>
      </c>
      <c r="E14" s="345">
        <v>1</v>
      </c>
      <c r="F14" s="345">
        <v>1</v>
      </c>
      <c r="G14" s="345">
        <v>1</v>
      </c>
    </row>
    <row r="15" spans="1:7" ht="39" customHeight="1">
      <c r="A15" s="347">
        <v>3</v>
      </c>
      <c r="B15" s="348" t="s">
        <v>242</v>
      </c>
      <c r="C15" s="349">
        <f t="shared" ref="C15:G15" si="1">SUM(C13:C14)</f>
        <v>164.03</v>
      </c>
      <c r="D15" s="349">
        <f t="shared" si="1"/>
        <v>163.03</v>
      </c>
      <c r="E15" s="349">
        <f t="shared" si="1"/>
        <v>161.03</v>
      </c>
      <c r="F15" s="349">
        <f t="shared" si="1"/>
        <v>159.77000000000001</v>
      </c>
      <c r="G15" s="349">
        <f t="shared" si="1"/>
        <v>157.82</v>
      </c>
    </row>
    <row r="16" spans="1:7" ht="21.75" customHeight="1">
      <c r="A16" s="343">
        <v>4</v>
      </c>
      <c r="B16" s="351" t="s">
        <v>204</v>
      </c>
      <c r="C16" s="352">
        <v>10</v>
      </c>
      <c r="D16" s="352"/>
      <c r="E16" s="352"/>
      <c r="F16" s="352"/>
      <c r="G16" s="352"/>
    </row>
    <row r="17" spans="1:7" ht="21" customHeight="1">
      <c r="A17" s="330"/>
      <c r="B17" s="530" t="s">
        <v>233</v>
      </c>
      <c r="C17" s="530"/>
      <c r="D17" s="530"/>
      <c r="E17" s="530"/>
      <c r="F17" s="530"/>
      <c r="G17" s="531"/>
    </row>
    <row r="18" spans="1:7" ht="29.25" customHeight="1">
      <c r="A18" s="353"/>
      <c r="B18" s="336"/>
      <c r="C18" s="337"/>
      <c r="D18" s="532" t="s">
        <v>8</v>
      </c>
      <c r="E18" s="533"/>
      <c r="F18" s="534" t="s">
        <v>9</v>
      </c>
      <c r="G18" s="534"/>
    </row>
    <row r="19" spans="1:7" ht="29.25" customHeight="1">
      <c r="A19" s="338" t="s">
        <v>19</v>
      </c>
      <c r="B19" s="354" t="s">
        <v>241</v>
      </c>
      <c r="C19" s="340" t="s">
        <v>225</v>
      </c>
      <c r="D19" s="341" t="s">
        <v>226</v>
      </c>
      <c r="E19" s="341" t="s">
        <v>227</v>
      </c>
      <c r="F19" s="342" t="s">
        <v>228</v>
      </c>
      <c r="G19" s="342" t="s">
        <v>229</v>
      </c>
    </row>
    <row r="20" spans="1:7" ht="20.100000000000001" customHeight="1">
      <c r="A20" s="343">
        <v>1</v>
      </c>
      <c r="B20" s="344" t="s">
        <v>230</v>
      </c>
      <c r="C20" s="344">
        <v>39.729999999999997</v>
      </c>
      <c r="D20" s="344">
        <v>39.729999999999997</v>
      </c>
      <c r="E20" s="344">
        <v>39.729999999999997</v>
      </c>
      <c r="F20" s="344">
        <v>37.729999999999997</v>
      </c>
      <c r="G20" s="344">
        <v>37.729999999999997</v>
      </c>
    </row>
    <row r="21" spans="1:7" ht="20.100000000000001" customHeight="1">
      <c r="A21" s="343">
        <v>2</v>
      </c>
      <c r="B21" s="346" t="s">
        <v>231</v>
      </c>
      <c r="C21" s="345"/>
      <c r="D21" s="345"/>
      <c r="E21" s="345"/>
      <c r="F21" s="345"/>
      <c r="G21" s="345"/>
    </row>
    <row r="22" spans="1:7" ht="45" customHeight="1">
      <c r="A22" s="347">
        <v>3</v>
      </c>
      <c r="B22" s="355" t="s">
        <v>242</v>
      </c>
      <c r="C22" s="349">
        <f t="shared" ref="C22:G22" si="2">SUM(C20:C21)</f>
        <v>39.729999999999997</v>
      </c>
      <c r="D22" s="349">
        <f t="shared" si="2"/>
        <v>39.729999999999997</v>
      </c>
      <c r="E22" s="349">
        <f t="shared" si="2"/>
        <v>39.729999999999997</v>
      </c>
      <c r="F22" s="349">
        <f t="shared" si="2"/>
        <v>37.729999999999997</v>
      </c>
      <c r="G22" s="349">
        <f t="shared" si="2"/>
        <v>37.729999999999997</v>
      </c>
    </row>
    <row r="23" spans="1:7" ht="20.100000000000001" customHeight="1">
      <c r="A23" s="343">
        <v>4</v>
      </c>
      <c r="B23" s="351" t="s">
        <v>204</v>
      </c>
      <c r="C23" s="352"/>
      <c r="D23" s="352"/>
      <c r="E23" s="352"/>
      <c r="F23" s="352"/>
      <c r="G23" s="352"/>
    </row>
    <row r="24" spans="1:7" ht="30" customHeight="1">
      <c r="A24" s="356">
        <v>3</v>
      </c>
      <c r="B24" s="357" t="s">
        <v>234</v>
      </c>
      <c r="C24" s="358">
        <f t="shared" ref="C24:G24" si="3">SUM(C8)+C15+C22</f>
        <v>227.2</v>
      </c>
      <c r="D24" s="358">
        <f t="shared" si="3"/>
        <v>226.2</v>
      </c>
      <c r="E24" s="358">
        <f t="shared" si="3"/>
        <v>224.2</v>
      </c>
      <c r="F24" s="358">
        <f t="shared" si="3"/>
        <v>216.94</v>
      </c>
      <c r="G24" s="358">
        <f t="shared" si="3"/>
        <v>214.98999999999998</v>
      </c>
    </row>
    <row r="25" spans="1:7" ht="20.100000000000001" customHeight="1">
      <c r="A25" s="359"/>
      <c r="B25" s="360"/>
      <c r="C25" s="361"/>
      <c r="D25" s="361"/>
      <c r="E25" s="361"/>
      <c r="F25" s="361"/>
      <c r="G25" s="361"/>
    </row>
    <row r="26" spans="1:7" ht="20.100000000000001" customHeight="1">
      <c r="A26" s="359"/>
      <c r="B26" s="523" t="s">
        <v>243</v>
      </c>
      <c r="C26" s="524"/>
      <c r="D26" s="524"/>
      <c r="E26" s="524"/>
      <c r="F26" s="524"/>
      <c r="G26" s="524"/>
    </row>
    <row r="27" spans="1:7" ht="20.100000000000001" customHeight="1">
      <c r="A27" s="362"/>
      <c r="B27" s="363"/>
      <c r="C27" s="364"/>
      <c r="D27" s="364"/>
      <c r="E27" s="364"/>
      <c r="F27" s="364"/>
      <c r="G27" s="364"/>
    </row>
    <row r="28" spans="1:7" ht="20.100000000000001" customHeight="1">
      <c r="A28" s="362"/>
      <c r="B28" s="247" t="s">
        <v>222</v>
      </c>
      <c r="C28" s="364"/>
      <c r="D28" s="364"/>
      <c r="E28" s="364"/>
      <c r="F28" s="364"/>
      <c r="G28" s="364"/>
    </row>
    <row r="29" spans="1:7" ht="20.100000000000001" customHeight="1">
      <c r="A29"/>
      <c r="B29" s="363"/>
      <c r="C29" s="363"/>
      <c r="D29" s="363"/>
      <c r="E29" s="363"/>
      <c r="F29" s="363"/>
      <c r="G29" s="363"/>
    </row>
    <row r="30" spans="1:7" ht="15.75" customHeight="1">
      <c r="A30" s="365"/>
      <c r="B30" s="535" t="s">
        <v>235</v>
      </c>
      <c r="C30" s="535"/>
      <c r="D30" s="535"/>
      <c r="E30" s="535"/>
      <c r="F30" s="535"/>
      <c r="G30" s="535"/>
    </row>
    <row r="31" spans="1:7">
      <c r="A31" s="366"/>
      <c r="B31" s="367"/>
      <c r="C31" s="368"/>
      <c r="D31" s="536" t="s">
        <v>8</v>
      </c>
      <c r="E31" s="537" t="s">
        <v>9</v>
      </c>
      <c r="F31" s="538" t="s">
        <v>9</v>
      </c>
      <c r="G31" s="538"/>
    </row>
    <row r="32" spans="1:7" ht="29.25" customHeight="1">
      <c r="A32" s="369" t="s">
        <v>19</v>
      </c>
      <c r="B32" s="339" t="s">
        <v>241</v>
      </c>
      <c r="C32" s="340" t="s">
        <v>225</v>
      </c>
      <c r="D32" s="341" t="s">
        <v>226</v>
      </c>
      <c r="E32" s="341" t="s">
        <v>227</v>
      </c>
      <c r="F32" s="342" t="s">
        <v>228</v>
      </c>
      <c r="G32" s="342" t="s">
        <v>229</v>
      </c>
    </row>
    <row r="33" spans="1:7">
      <c r="A33" s="370">
        <v>1</v>
      </c>
      <c r="B33" s="371" t="s">
        <v>230</v>
      </c>
      <c r="C33" s="371">
        <v>21.79</v>
      </c>
      <c r="D33" s="371">
        <v>21.6</v>
      </c>
      <c r="E33" s="371">
        <v>20.85</v>
      </c>
      <c r="F33" s="371">
        <v>20.6</v>
      </c>
      <c r="G33" s="371">
        <v>20.6</v>
      </c>
    </row>
    <row r="34" spans="1:7">
      <c r="A34" s="370">
        <v>2</v>
      </c>
      <c r="B34" s="372" t="s">
        <v>231</v>
      </c>
      <c r="C34" s="371">
        <v>0.8</v>
      </c>
      <c r="D34" s="371">
        <v>0.8</v>
      </c>
      <c r="E34" s="371">
        <v>0.8</v>
      </c>
      <c r="F34" s="371">
        <v>0.8</v>
      </c>
      <c r="G34" s="371">
        <v>0.8</v>
      </c>
    </row>
    <row r="35" spans="1:7" ht="25.5">
      <c r="A35" s="373">
        <v>3</v>
      </c>
      <c r="B35" s="348" t="s">
        <v>242</v>
      </c>
      <c r="C35" s="374">
        <f t="shared" ref="C35:G35" si="4">SUM(C33:C34)</f>
        <v>22.59</v>
      </c>
      <c r="D35" s="374">
        <f t="shared" si="4"/>
        <v>22.400000000000002</v>
      </c>
      <c r="E35" s="374">
        <f t="shared" si="4"/>
        <v>21.650000000000002</v>
      </c>
      <c r="F35" s="374">
        <f t="shared" si="4"/>
        <v>21.400000000000002</v>
      </c>
      <c r="G35" s="374">
        <f t="shared" si="4"/>
        <v>21.400000000000002</v>
      </c>
    </row>
    <row r="36" spans="1:7">
      <c r="A36" s="375">
        <v>4</v>
      </c>
      <c r="B36" s="376" t="s">
        <v>204</v>
      </c>
      <c r="C36" s="376"/>
      <c r="D36" s="376"/>
      <c r="E36" s="376"/>
      <c r="F36" s="376"/>
      <c r="G36" s="376"/>
    </row>
    <row r="37" spans="1:7">
      <c r="A37" s="362"/>
      <c r="B37" s="363"/>
      <c r="C37" s="363"/>
      <c r="D37" s="363"/>
      <c r="E37" s="363"/>
      <c r="F37" s="363"/>
      <c r="G37" s="363"/>
    </row>
    <row r="38" spans="1:7" ht="18">
      <c r="A38" s="365"/>
      <c r="B38" s="535" t="s">
        <v>236</v>
      </c>
      <c r="C38" s="535"/>
      <c r="D38" s="535"/>
      <c r="E38" s="535"/>
      <c r="F38" s="535"/>
      <c r="G38" s="535"/>
    </row>
    <row r="39" spans="1:7">
      <c r="A39" s="366"/>
      <c r="B39" s="367"/>
      <c r="C39" s="368"/>
      <c r="D39" s="536" t="s">
        <v>8</v>
      </c>
      <c r="E39" s="537" t="s">
        <v>9</v>
      </c>
      <c r="F39" s="538" t="s">
        <v>9</v>
      </c>
      <c r="G39" s="538"/>
    </row>
    <row r="40" spans="1:7" ht="29.25" customHeight="1">
      <c r="A40" s="369" t="s">
        <v>19</v>
      </c>
      <c r="B40" s="354" t="s">
        <v>241</v>
      </c>
      <c r="C40" s="340" t="s">
        <v>225</v>
      </c>
      <c r="D40" s="341" t="s">
        <v>226</v>
      </c>
      <c r="E40" s="341" t="s">
        <v>227</v>
      </c>
      <c r="F40" s="342" t="s">
        <v>228</v>
      </c>
      <c r="G40" s="342" t="s">
        <v>229</v>
      </c>
    </row>
    <row r="41" spans="1:7">
      <c r="A41" s="370">
        <v>1</v>
      </c>
      <c r="B41" s="371" t="s">
        <v>230</v>
      </c>
      <c r="C41" s="371">
        <v>93.04</v>
      </c>
      <c r="D41" s="371">
        <v>92.04</v>
      </c>
      <c r="E41" s="371">
        <v>91.04</v>
      </c>
      <c r="F41" s="371">
        <v>90.25</v>
      </c>
      <c r="G41" s="371">
        <v>89.25</v>
      </c>
    </row>
    <row r="42" spans="1:7">
      <c r="A42" s="370">
        <v>2</v>
      </c>
      <c r="B42" s="372" t="s">
        <v>231</v>
      </c>
      <c r="C42" s="377">
        <v>1.5</v>
      </c>
      <c r="D42" s="377">
        <v>1.5</v>
      </c>
      <c r="E42" s="377">
        <v>1.5</v>
      </c>
      <c r="F42" s="377">
        <v>1.5</v>
      </c>
      <c r="G42" s="377">
        <v>1.5</v>
      </c>
    </row>
    <row r="43" spans="1:7" ht="25.5">
      <c r="A43" s="378">
        <v>3</v>
      </c>
      <c r="B43" s="348" t="s">
        <v>242</v>
      </c>
      <c r="C43" s="374">
        <f t="shared" ref="C43:G43" si="5">SUM(C41:C42)</f>
        <v>94.54</v>
      </c>
      <c r="D43" s="374">
        <f t="shared" si="5"/>
        <v>93.54</v>
      </c>
      <c r="E43" s="374">
        <f t="shared" si="5"/>
        <v>92.54</v>
      </c>
      <c r="F43" s="374">
        <f t="shared" si="5"/>
        <v>91.75</v>
      </c>
      <c r="G43" s="374">
        <f t="shared" si="5"/>
        <v>90.75</v>
      </c>
    </row>
    <row r="44" spans="1:7">
      <c r="A44" s="379">
        <v>4</v>
      </c>
      <c r="B44" s="376" t="s">
        <v>204</v>
      </c>
      <c r="C44" s="376"/>
      <c r="D44" s="376"/>
      <c r="E44" s="376"/>
      <c r="F44" s="376"/>
      <c r="G44" s="376"/>
    </row>
    <row r="45" spans="1:7" ht="15">
      <c r="A45"/>
      <c r="B45" s="363"/>
      <c r="C45" s="363"/>
      <c r="D45" s="363"/>
      <c r="E45" s="363"/>
      <c r="F45" s="363"/>
      <c r="G45" s="363"/>
    </row>
    <row r="46" spans="1:7" ht="18">
      <c r="A46" s="365"/>
      <c r="B46" s="535" t="s">
        <v>237</v>
      </c>
      <c r="C46" s="535"/>
      <c r="D46" s="535"/>
      <c r="E46" s="535"/>
      <c r="F46" s="535"/>
      <c r="G46" s="535"/>
    </row>
    <row r="47" spans="1:7">
      <c r="A47" s="366"/>
      <c r="B47" s="367"/>
      <c r="C47" s="368"/>
      <c r="D47" s="536" t="s">
        <v>8</v>
      </c>
      <c r="E47" s="537" t="s">
        <v>9</v>
      </c>
      <c r="F47" s="538" t="s">
        <v>9</v>
      </c>
      <c r="G47" s="538"/>
    </row>
    <row r="48" spans="1:7" ht="29.25" customHeight="1">
      <c r="A48" s="369" t="s">
        <v>19</v>
      </c>
      <c r="B48" s="354" t="s">
        <v>241</v>
      </c>
      <c r="C48" s="340" t="s">
        <v>225</v>
      </c>
      <c r="D48" s="341" t="s">
        <v>226</v>
      </c>
      <c r="E48" s="341" t="s">
        <v>227</v>
      </c>
      <c r="F48" s="342" t="s">
        <v>228</v>
      </c>
      <c r="G48" s="342" t="s">
        <v>229</v>
      </c>
    </row>
    <row r="49" spans="1:7">
      <c r="A49" s="370">
        <v>1</v>
      </c>
      <c r="B49" s="371" t="s">
        <v>230</v>
      </c>
      <c r="C49" s="377">
        <v>27.22</v>
      </c>
      <c r="D49" s="377">
        <v>27.22</v>
      </c>
      <c r="E49" s="377">
        <v>27.22</v>
      </c>
      <c r="F49" s="377">
        <v>27.22</v>
      </c>
      <c r="G49" s="377">
        <v>27.22</v>
      </c>
    </row>
    <row r="50" spans="1:7">
      <c r="A50" s="370">
        <v>2</v>
      </c>
      <c r="B50" s="372" t="s">
        <v>231</v>
      </c>
      <c r="C50" s="371"/>
      <c r="D50" s="371"/>
      <c r="E50" s="371"/>
      <c r="F50" s="371"/>
      <c r="G50" s="371"/>
    </row>
    <row r="51" spans="1:7" ht="25.5">
      <c r="A51" s="378">
        <v>3</v>
      </c>
      <c r="B51" s="348" t="s">
        <v>242</v>
      </c>
      <c r="C51" s="374">
        <f t="shared" ref="C51:G51" si="6">SUM(C49:C50)</f>
        <v>27.22</v>
      </c>
      <c r="D51" s="374">
        <f t="shared" si="6"/>
        <v>27.22</v>
      </c>
      <c r="E51" s="374">
        <f t="shared" si="6"/>
        <v>27.22</v>
      </c>
      <c r="F51" s="374">
        <f t="shared" si="6"/>
        <v>27.22</v>
      </c>
      <c r="G51" s="374">
        <f t="shared" si="6"/>
        <v>27.22</v>
      </c>
    </row>
    <row r="52" spans="1:7">
      <c r="A52" s="375">
        <v>4</v>
      </c>
      <c r="B52" s="376" t="s">
        <v>204</v>
      </c>
      <c r="C52" s="380"/>
      <c r="D52" s="380"/>
      <c r="E52" s="380"/>
      <c r="F52" s="380"/>
      <c r="G52" s="380"/>
    </row>
    <row r="53" spans="1:7" ht="45" customHeight="1">
      <c r="A53"/>
      <c r="B53" s="363"/>
      <c r="C53" s="363"/>
      <c r="D53" s="363"/>
      <c r="E53" s="363"/>
      <c r="F53" s="363"/>
      <c r="G53" s="363"/>
    </row>
    <row r="54" spans="1:7" ht="18">
      <c r="A54" s="365"/>
      <c r="B54" s="535" t="s">
        <v>238</v>
      </c>
      <c r="C54" s="535"/>
      <c r="D54" s="535"/>
      <c r="E54" s="535"/>
      <c r="F54" s="535"/>
      <c r="G54" s="535"/>
    </row>
    <row r="55" spans="1:7">
      <c r="A55" s="366"/>
      <c r="B55" s="367"/>
      <c r="C55" s="368"/>
      <c r="D55" s="536" t="s">
        <v>8</v>
      </c>
      <c r="E55" s="537" t="s">
        <v>9</v>
      </c>
      <c r="F55" s="538" t="s">
        <v>9</v>
      </c>
      <c r="G55" s="538"/>
    </row>
    <row r="56" spans="1:7" ht="29.25" customHeight="1">
      <c r="A56" s="369" t="s">
        <v>19</v>
      </c>
      <c r="B56" s="354" t="s">
        <v>241</v>
      </c>
      <c r="C56" s="340" t="s">
        <v>225</v>
      </c>
      <c r="D56" s="341" t="s">
        <v>226</v>
      </c>
      <c r="E56" s="341" t="s">
        <v>227</v>
      </c>
      <c r="F56" s="342" t="s">
        <v>228</v>
      </c>
      <c r="G56" s="342" t="s">
        <v>229</v>
      </c>
    </row>
    <row r="57" spans="1:7">
      <c r="A57" s="370">
        <v>1</v>
      </c>
      <c r="B57" s="371" t="s">
        <v>230</v>
      </c>
      <c r="C57" s="377">
        <v>6</v>
      </c>
      <c r="D57" s="377">
        <v>5.5</v>
      </c>
      <c r="E57" s="377">
        <v>5.5</v>
      </c>
      <c r="F57" s="377">
        <v>5.5</v>
      </c>
      <c r="G57" s="377">
        <v>5.5</v>
      </c>
    </row>
    <row r="58" spans="1:7">
      <c r="A58" s="370">
        <v>2</v>
      </c>
      <c r="B58" s="372" t="s">
        <v>231</v>
      </c>
      <c r="C58" s="377">
        <v>2</v>
      </c>
      <c r="D58" s="377">
        <v>2</v>
      </c>
      <c r="E58" s="377">
        <v>2</v>
      </c>
      <c r="F58" s="377">
        <v>2</v>
      </c>
      <c r="G58" s="377">
        <v>2</v>
      </c>
    </row>
    <row r="59" spans="1:7" ht="25.5">
      <c r="A59" s="378">
        <v>3</v>
      </c>
      <c r="B59" s="348" t="s">
        <v>242</v>
      </c>
      <c r="C59" s="374">
        <f>SUM(C57:C58)</f>
        <v>8</v>
      </c>
      <c r="D59" s="374">
        <f t="shared" ref="D59:G59" si="7">SUM(D57:D58)</f>
        <v>7.5</v>
      </c>
      <c r="E59" s="374">
        <f t="shared" si="7"/>
        <v>7.5</v>
      </c>
      <c r="F59" s="374">
        <f t="shared" si="7"/>
        <v>7.5</v>
      </c>
      <c r="G59" s="374">
        <f t="shared" si="7"/>
        <v>7.5</v>
      </c>
    </row>
    <row r="60" spans="1:7">
      <c r="A60" s="375">
        <v>4</v>
      </c>
      <c r="B60" s="376" t="s">
        <v>204</v>
      </c>
      <c r="C60" s="376"/>
      <c r="D60" s="376"/>
      <c r="E60" s="376"/>
      <c r="F60" s="376"/>
      <c r="G60" s="376"/>
    </row>
    <row r="61" spans="1:7" ht="15">
      <c r="A61"/>
      <c r="B61" s="363"/>
      <c r="C61" s="363"/>
      <c r="D61" s="363"/>
      <c r="E61" s="363"/>
      <c r="F61" s="363"/>
      <c r="G61" s="363"/>
    </row>
    <row r="62" spans="1:7" ht="18">
      <c r="A62" s="365"/>
      <c r="B62" s="535" t="s">
        <v>239</v>
      </c>
      <c r="C62" s="535"/>
      <c r="D62" s="535"/>
      <c r="E62" s="535"/>
      <c r="F62" s="535"/>
      <c r="G62" s="535"/>
    </row>
    <row r="63" spans="1:7">
      <c r="A63" s="366"/>
      <c r="B63" s="367"/>
      <c r="C63" s="368"/>
      <c r="D63" s="536" t="s">
        <v>8</v>
      </c>
      <c r="E63" s="537" t="s">
        <v>9</v>
      </c>
      <c r="F63" s="538" t="s">
        <v>9</v>
      </c>
      <c r="G63" s="538"/>
    </row>
    <row r="64" spans="1:7" ht="29.25" customHeight="1">
      <c r="A64" s="369" t="s">
        <v>19</v>
      </c>
      <c r="B64" s="354" t="s">
        <v>241</v>
      </c>
      <c r="C64" s="340" t="s">
        <v>225</v>
      </c>
      <c r="D64" s="341" t="s">
        <v>226</v>
      </c>
      <c r="E64" s="341" t="s">
        <v>227</v>
      </c>
      <c r="F64" s="342" t="s">
        <v>228</v>
      </c>
      <c r="G64" s="342" t="s">
        <v>229</v>
      </c>
    </row>
    <row r="65" spans="1:10">
      <c r="A65" s="370">
        <v>1</v>
      </c>
      <c r="B65" s="371" t="s">
        <v>230</v>
      </c>
      <c r="C65" s="371">
        <v>43.19</v>
      </c>
      <c r="D65" s="371">
        <v>42.19</v>
      </c>
      <c r="E65" s="371">
        <v>42.19</v>
      </c>
      <c r="F65" s="371">
        <v>42.19</v>
      </c>
      <c r="G65" s="371">
        <v>42.19</v>
      </c>
    </row>
    <row r="66" spans="1:10">
      <c r="A66" s="370">
        <v>2</v>
      </c>
      <c r="B66" s="372" t="s">
        <v>231</v>
      </c>
      <c r="C66" s="377">
        <v>4.88</v>
      </c>
      <c r="D66" s="377">
        <v>4.88</v>
      </c>
      <c r="E66" s="377">
        <v>4.88</v>
      </c>
      <c r="F66" s="377">
        <v>4.88</v>
      </c>
      <c r="G66" s="377">
        <v>4.88</v>
      </c>
    </row>
    <row r="67" spans="1:10" ht="25.5">
      <c r="A67" s="378">
        <v>3</v>
      </c>
      <c r="B67" s="348" t="s">
        <v>242</v>
      </c>
      <c r="C67" s="374">
        <f t="shared" ref="C67:G67" si="8">SUM(C65:C66)</f>
        <v>48.07</v>
      </c>
      <c r="D67" s="374">
        <f t="shared" si="8"/>
        <v>47.07</v>
      </c>
      <c r="E67" s="374">
        <f t="shared" si="8"/>
        <v>47.07</v>
      </c>
      <c r="F67" s="374">
        <f t="shared" si="8"/>
        <v>47.07</v>
      </c>
      <c r="G67" s="374">
        <f t="shared" si="8"/>
        <v>47.07</v>
      </c>
    </row>
    <row r="68" spans="1:10">
      <c r="A68" s="379">
        <v>4</v>
      </c>
      <c r="B68" s="376" t="s">
        <v>204</v>
      </c>
      <c r="C68" s="380"/>
      <c r="D68" s="380"/>
      <c r="E68" s="380"/>
      <c r="F68" s="380"/>
      <c r="G68" s="380"/>
    </row>
    <row r="69" spans="1:10">
      <c r="A69" s="362"/>
      <c r="B69" s="363"/>
      <c r="C69" s="364"/>
      <c r="D69" s="364"/>
      <c r="E69" s="364"/>
      <c r="F69" s="364"/>
      <c r="G69" s="364"/>
    </row>
    <row r="70" spans="1:10" ht="18">
      <c r="A70" s="365"/>
      <c r="B70" s="535" t="s">
        <v>240</v>
      </c>
      <c r="C70" s="535"/>
      <c r="D70" s="535"/>
      <c r="E70" s="535"/>
      <c r="F70" s="535"/>
      <c r="G70" s="535"/>
    </row>
    <row r="71" spans="1:10">
      <c r="A71" s="366"/>
      <c r="B71" s="367"/>
      <c r="C71" s="368"/>
      <c r="D71" s="536" t="s">
        <v>8</v>
      </c>
      <c r="E71" s="537" t="s">
        <v>9</v>
      </c>
      <c r="F71" s="538" t="s">
        <v>9</v>
      </c>
      <c r="G71" s="538"/>
    </row>
    <row r="72" spans="1:10" ht="29.25" customHeight="1">
      <c r="A72" s="369" t="s">
        <v>19</v>
      </c>
      <c r="B72" s="354" t="s">
        <v>241</v>
      </c>
      <c r="C72" s="340" t="s">
        <v>225</v>
      </c>
      <c r="D72" s="341" t="s">
        <v>226</v>
      </c>
      <c r="E72" s="341" t="s">
        <v>227</v>
      </c>
      <c r="F72" s="342" t="s">
        <v>228</v>
      </c>
      <c r="G72" s="342" t="s">
        <v>229</v>
      </c>
    </row>
    <row r="73" spans="1:10">
      <c r="A73" s="370">
        <v>1</v>
      </c>
      <c r="B73" s="371" t="s">
        <v>230</v>
      </c>
      <c r="C73" s="371">
        <v>30.79</v>
      </c>
      <c r="D73" s="371">
        <v>29.97</v>
      </c>
      <c r="E73" s="371">
        <v>29.97</v>
      </c>
      <c r="F73" s="371">
        <v>26.97</v>
      </c>
      <c r="G73" s="371">
        <v>26.97</v>
      </c>
    </row>
    <row r="74" spans="1:10">
      <c r="A74" s="370">
        <v>2</v>
      </c>
      <c r="B74" s="372" t="s">
        <v>231</v>
      </c>
      <c r="C74" s="377">
        <v>1</v>
      </c>
      <c r="D74" s="377">
        <v>1</v>
      </c>
      <c r="E74" s="377">
        <v>1</v>
      </c>
      <c r="F74" s="377">
        <v>1</v>
      </c>
      <c r="G74" s="377">
        <v>1</v>
      </c>
    </row>
    <row r="75" spans="1:10" ht="25.5">
      <c r="A75" s="378">
        <v>3</v>
      </c>
      <c r="B75" s="348" t="s">
        <v>242</v>
      </c>
      <c r="C75" s="374">
        <f t="shared" ref="C75:G75" si="9">SUM(C73:C74)</f>
        <v>31.79</v>
      </c>
      <c r="D75" s="374">
        <f t="shared" si="9"/>
        <v>30.97</v>
      </c>
      <c r="E75" s="374">
        <f t="shared" si="9"/>
        <v>30.97</v>
      </c>
      <c r="F75" s="374">
        <f t="shared" si="9"/>
        <v>27.97</v>
      </c>
      <c r="G75" s="374">
        <f t="shared" si="9"/>
        <v>27.97</v>
      </c>
    </row>
    <row r="76" spans="1:10">
      <c r="A76" s="379">
        <v>4</v>
      </c>
      <c r="B76" s="376" t="s">
        <v>204</v>
      </c>
      <c r="C76" s="380"/>
      <c r="D76" s="380"/>
      <c r="E76" s="380"/>
      <c r="F76" s="380"/>
      <c r="G76" s="380"/>
    </row>
    <row r="77" spans="1:10" ht="15">
      <c r="A77"/>
      <c r="B77" s="363"/>
      <c r="C77" s="363"/>
      <c r="D77" s="363"/>
      <c r="E77" s="363"/>
      <c r="F77" s="363"/>
      <c r="G77" s="363"/>
    </row>
    <row r="78" spans="1:10" ht="25.5" customHeight="1">
      <c r="A78"/>
      <c r="B78" s="523" t="s">
        <v>243</v>
      </c>
      <c r="C78" s="524"/>
      <c r="D78" s="524"/>
      <c r="E78" s="524"/>
      <c r="F78" s="524"/>
      <c r="G78" s="524"/>
      <c r="J78" s="381"/>
    </row>
    <row r="79" spans="1:10" ht="12.75" customHeight="1">
      <c r="B79" s="525"/>
      <c r="C79" s="526"/>
      <c r="D79" s="526"/>
      <c r="E79" s="526"/>
      <c r="F79" s="526"/>
      <c r="G79" s="526"/>
    </row>
    <row r="80" spans="1:10" ht="12" customHeight="1">
      <c r="B80" s="526"/>
      <c r="C80" s="526"/>
      <c r="D80" s="526"/>
      <c r="E80" s="526"/>
      <c r="F80" s="526"/>
      <c r="G80" s="526"/>
    </row>
    <row r="81" spans="1:7">
      <c r="A81" s="381"/>
      <c r="B81" s="381"/>
      <c r="C81" s="381"/>
      <c r="D81" s="381"/>
      <c r="E81" s="381"/>
      <c r="F81" s="381"/>
      <c r="G81" s="381"/>
    </row>
    <row r="82" spans="1:7">
      <c r="A82" s="382"/>
      <c r="B82" s="382"/>
      <c r="C82" s="381"/>
      <c r="D82" s="381"/>
      <c r="E82" s="381"/>
      <c r="F82" s="381"/>
      <c r="G82" s="381"/>
    </row>
    <row r="83" spans="1:7">
      <c r="A83" s="381"/>
      <c r="B83" s="381"/>
      <c r="C83" s="381"/>
      <c r="D83" s="381"/>
      <c r="E83" s="381"/>
      <c r="F83" s="381"/>
      <c r="G83" s="381"/>
    </row>
    <row r="84" spans="1:7">
      <c r="A84" s="382"/>
      <c r="B84" s="382"/>
      <c r="C84" s="381"/>
      <c r="D84" s="381"/>
      <c r="E84" s="381"/>
      <c r="F84" s="381"/>
      <c r="G84" s="381"/>
    </row>
    <row r="85" spans="1:7">
      <c r="A85" s="381"/>
      <c r="B85" s="381"/>
      <c r="C85" s="381"/>
      <c r="D85" s="381"/>
      <c r="E85" s="381"/>
      <c r="F85" s="381"/>
      <c r="G85" s="381"/>
    </row>
    <row r="86" spans="1:7">
      <c r="C86" s="382"/>
      <c r="D86" s="382"/>
      <c r="E86" s="382"/>
      <c r="F86" s="382"/>
      <c r="G86" s="382"/>
    </row>
    <row r="87" spans="1:7">
      <c r="C87" s="381"/>
      <c r="D87" s="381"/>
      <c r="E87" s="381"/>
      <c r="F87" s="381"/>
      <c r="G87" s="381"/>
    </row>
  </sheetData>
  <mergeCells count="29">
    <mergeCell ref="B70:G70"/>
    <mergeCell ref="D71:E71"/>
    <mergeCell ref="F71:G71"/>
    <mergeCell ref="B78:G78"/>
    <mergeCell ref="B79:G80"/>
    <mergeCell ref="B54:G54"/>
    <mergeCell ref="D55:E55"/>
    <mergeCell ref="F55:G55"/>
    <mergeCell ref="B62:G62"/>
    <mergeCell ref="D63:E63"/>
    <mergeCell ref="F63:G63"/>
    <mergeCell ref="B38:G38"/>
    <mergeCell ref="D39:E39"/>
    <mergeCell ref="F39:G39"/>
    <mergeCell ref="B46:G46"/>
    <mergeCell ref="D47:E47"/>
    <mergeCell ref="F47:G47"/>
    <mergeCell ref="D18:E18"/>
    <mergeCell ref="F18:G18"/>
    <mergeCell ref="B26:G26"/>
    <mergeCell ref="B30:G30"/>
    <mergeCell ref="D31:E31"/>
    <mergeCell ref="F31:G31"/>
    <mergeCell ref="B17:G17"/>
    <mergeCell ref="D4:E4"/>
    <mergeCell ref="F4:G4"/>
    <mergeCell ref="B10:G10"/>
    <mergeCell ref="D11:E11"/>
    <mergeCell ref="F11:G11"/>
  </mergeCells>
  <pageMargins left="0.70866141732283472" right="0.70866141732283472" top="0.78740157480314965" bottom="0.78740157480314965" header="0.31496062992125984" footer="0.31496062992125984"/>
  <pageSetup paperSize="9" scale="90" fitToHeight="3"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view="pageLayout" zoomScale="60" zoomScaleNormal="100" zoomScalePageLayoutView="60" workbookViewId="0">
      <selection activeCell="G70" sqref="G70"/>
    </sheetView>
  </sheetViews>
  <sheetFormatPr baseColWidth="10" defaultColWidth="5" defaultRowHeight="11.25"/>
  <cols>
    <col min="1" max="1" width="4.28515625" style="132" customWidth="1"/>
    <col min="2" max="2" width="48.85546875" style="132" customWidth="1"/>
    <col min="3" max="3" width="33.42578125" style="132" customWidth="1"/>
    <col min="4" max="4" width="17.140625" style="132" customWidth="1"/>
    <col min="5" max="5" width="9.28515625" style="132" customWidth="1"/>
    <col min="6" max="13" width="12.7109375" style="132" customWidth="1"/>
    <col min="14" max="16384" width="5" style="132"/>
  </cols>
  <sheetData>
    <row r="1" spans="1:14">
      <c r="A1" s="541" t="s">
        <v>85</v>
      </c>
      <c r="B1" s="542"/>
      <c r="C1" s="542"/>
      <c r="D1" s="542"/>
      <c r="E1" s="542"/>
      <c r="F1" s="542"/>
      <c r="G1" s="542"/>
      <c r="H1" s="542"/>
      <c r="I1" s="542"/>
      <c r="J1" s="542"/>
      <c r="K1" s="542"/>
      <c r="L1" s="542"/>
      <c r="M1" s="543"/>
    </row>
    <row r="2" spans="1:14" ht="18" customHeight="1">
      <c r="A2" s="544" t="s">
        <v>88</v>
      </c>
      <c r="B2" s="545"/>
      <c r="C2" s="546" t="s">
        <v>4</v>
      </c>
      <c r="D2" s="546"/>
      <c r="E2" s="546"/>
      <c r="F2" s="546"/>
      <c r="G2" s="546"/>
      <c r="H2" s="546"/>
      <c r="I2" s="546"/>
      <c r="J2" s="546"/>
      <c r="K2" s="546"/>
      <c r="L2" s="546"/>
      <c r="M2" s="547"/>
    </row>
    <row r="3" spans="1:14" ht="18" customHeight="1">
      <c r="A3" s="133"/>
      <c r="B3" s="134"/>
      <c r="C3" s="135"/>
      <c r="D3" s="135"/>
      <c r="E3" s="135"/>
      <c r="F3" s="135"/>
      <c r="G3" s="135"/>
      <c r="H3" s="135"/>
      <c r="I3" s="135"/>
      <c r="J3" s="548" t="s">
        <v>8</v>
      </c>
      <c r="K3" s="549"/>
      <c r="L3" s="550" t="s">
        <v>9</v>
      </c>
      <c r="M3" s="549"/>
    </row>
    <row r="4" spans="1:14" ht="22.5">
      <c r="A4" s="136" t="s">
        <v>19</v>
      </c>
      <c r="B4" s="137" t="s">
        <v>89</v>
      </c>
      <c r="C4" s="138" t="s">
        <v>90</v>
      </c>
      <c r="D4" s="539" t="s">
        <v>91</v>
      </c>
      <c r="E4" s="248" t="s">
        <v>92</v>
      </c>
      <c r="F4" s="139" t="s">
        <v>11</v>
      </c>
      <c r="G4" s="139" t="s">
        <v>11</v>
      </c>
      <c r="H4" s="139" t="s">
        <v>12</v>
      </c>
      <c r="I4" s="139" t="s">
        <v>13</v>
      </c>
      <c r="J4" s="139" t="s">
        <v>18</v>
      </c>
      <c r="K4" s="139" t="s">
        <v>18</v>
      </c>
      <c r="L4" s="140" t="s">
        <v>18</v>
      </c>
      <c r="M4" s="141" t="s">
        <v>18</v>
      </c>
      <c r="N4" s="142"/>
    </row>
    <row r="5" spans="1:14" ht="39.75" customHeight="1">
      <c r="A5" s="143"/>
      <c r="B5" s="144"/>
      <c r="C5" s="144"/>
      <c r="D5" s="540"/>
      <c r="E5" s="144" t="s">
        <v>93</v>
      </c>
      <c r="F5" s="145">
        <v>2015</v>
      </c>
      <c r="G5" s="145">
        <v>2016</v>
      </c>
      <c r="H5" s="145">
        <v>2017</v>
      </c>
      <c r="I5" s="145">
        <v>2017</v>
      </c>
      <c r="J5" s="146">
        <v>2018</v>
      </c>
      <c r="K5" s="146">
        <v>2019</v>
      </c>
      <c r="L5" s="147">
        <v>2020</v>
      </c>
      <c r="M5" s="146">
        <v>2021</v>
      </c>
    </row>
    <row r="6" spans="1:14">
      <c r="A6" s="148">
        <v>1</v>
      </c>
      <c r="B6" s="149" t="s">
        <v>94</v>
      </c>
      <c r="C6" s="150"/>
      <c r="D6" s="150"/>
      <c r="E6" s="151"/>
      <c r="F6" s="152"/>
      <c r="G6" s="152"/>
      <c r="H6" s="152"/>
      <c r="I6" s="153"/>
      <c r="J6" s="153"/>
      <c r="K6" s="154"/>
      <c r="L6" s="152"/>
      <c r="M6" s="153"/>
    </row>
    <row r="7" spans="1:14">
      <c r="A7" s="148"/>
      <c r="B7" s="155" t="s">
        <v>108</v>
      </c>
      <c r="C7" s="150"/>
      <c r="D7" s="150"/>
      <c r="E7" s="151"/>
      <c r="F7" s="156">
        <v>25.8</v>
      </c>
      <c r="G7" s="156">
        <v>24.7</v>
      </c>
      <c r="H7" s="156">
        <v>66</v>
      </c>
      <c r="I7" s="157">
        <v>60</v>
      </c>
      <c r="J7" s="153">
        <v>145</v>
      </c>
      <c r="K7" s="154">
        <v>50</v>
      </c>
      <c r="L7" s="152">
        <v>100</v>
      </c>
      <c r="M7" s="153">
        <v>50</v>
      </c>
    </row>
    <row r="8" spans="1:14">
      <c r="A8" s="148"/>
      <c r="B8" s="155"/>
      <c r="C8" s="150"/>
      <c r="D8" s="150"/>
      <c r="E8" s="151"/>
      <c r="F8" s="156"/>
      <c r="G8" s="156"/>
      <c r="H8" s="156"/>
      <c r="I8" s="157"/>
      <c r="J8" s="157"/>
      <c r="K8" s="158"/>
      <c r="L8" s="152"/>
      <c r="M8" s="157"/>
    </row>
    <row r="9" spans="1:14">
      <c r="A9" s="148"/>
      <c r="B9" s="159" t="s">
        <v>96</v>
      </c>
      <c r="C9" s="160"/>
      <c r="D9" s="160"/>
      <c r="E9" s="161"/>
      <c r="F9" s="162">
        <f>SUM(F7:F8)</f>
        <v>25.8</v>
      </c>
      <c r="G9" s="162">
        <f t="shared" ref="G9:M9" si="0">SUM(G7:G8)</f>
        <v>24.7</v>
      </c>
      <c r="H9" s="162">
        <f t="shared" si="0"/>
        <v>66</v>
      </c>
      <c r="I9" s="162">
        <f t="shared" si="0"/>
        <v>60</v>
      </c>
      <c r="J9" s="162">
        <f t="shared" si="0"/>
        <v>145</v>
      </c>
      <c r="K9" s="162">
        <f t="shared" si="0"/>
        <v>50</v>
      </c>
      <c r="L9" s="162">
        <f t="shared" si="0"/>
        <v>100</v>
      </c>
      <c r="M9" s="162">
        <f t="shared" si="0"/>
        <v>50</v>
      </c>
      <c r="N9" s="163"/>
    </row>
    <row r="10" spans="1:14">
      <c r="A10" s="148"/>
      <c r="B10" s="155"/>
      <c r="C10" s="150"/>
      <c r="D10" s="150"/>
      <c r="E10" s="151"/>
      <c r="F10" s="156"/>
      <c r="G10" s="156"/>
      <c r="H10" s="152"/>
      <c r="I10" s="157"/>
      <c r="J10" s="153"/>
      <c r="K10" s="154"/>
      <c r="L10" s="152"/>
      <c r="M10" s="153"/>
      <c r="N10" s="163"/>
    </row>
    <row r="11" spans="1:14">
      <c r="A11" s="148">
        <v>2</v>
      </c>
      <c r="B11" s="149" t="s">
        <v>97</v>
      </c>
      <c r="C11" s="150"/>
      <c r="D11" s="150"/>
      <c r="E11" s="151"/>
      <c r="F11" s="156"/>
      <c r="G11" s="156"/>
      <c r="H11" s="152"/>
      <c r="I11" s="157"/>
      <c r="J11" s="153"/>
      <c r="K11" s="154"/>
      <c r="L11" s="152"/>
      <c r="M11" s="153"/>
      <c r="N11" s="163"/>
    </row>
    <row r="12" spans="1:14">
      <c r="A12" s="148"/>
      <c r="B12" s="155"/>
      <c r="C12" s="164" t="s">
        <v>109</v>
      </c>
      <c r="D12" s="150"/>
      <c r="E12" s="151"/>
      <c r="F12" s="156"/>
      <c r="G12" s="156"/>
      <c r="H12" s="152"/>
      <c r="I12" s="157"/>
      <c r="J12" s="153"/>
      <c r="K12" s="154"/>
      <c r="L12" s="152"/>
      <c r="M12" s="153"/>
      <c r="N12" s="163"/>
    </row>
    <row r="13" spans="1:14">
      <c r="A13" s="148"/>
      <c r="B13" s="149"/>
      <c r="C13" s="150" t="s">
        <v>110</v>
      </c>
      <c r="D13" s="150"/>
      <c r="E13" s="151"/>
      <c r="F13" s="152"/>
      <c r="G13" s="152"/>
      <c r="H13" s="152"/>
      <c r="I13" s="157"/>
      <c r="J13" s="153">
        <v>380</v>
      </c>
      <c r="K13" s="154"/>
      <c r="L13" s="152"/>
      <c r="M13" s="153"/>
      <c r="N13" s="163"/>
    </row>
    <row r="14" spans="1:14">
      <c r="A14" s="148"/>
      <c r="B14" s="149"/>
      <c r="C14" s="150" t="s">
        <v>111</v>
      </c>
      <c r="D14" s="150"/>
      <c r="E14" s="151"/>
      <c r="F14" s="152">
        <v>14.8</v>
      </c>
      <c r="G14" s="152"/>
      <c r="H14" s="152"/>
      <c r="I14" s="157"/>
      <c r="J14" s="153"/>
      <c r="K14" s="154"/>
      <c r="L14" s="152"/>
      <c r="M14" s="153"/>
      <c r="N14" s="163"/>
    </row>
    <row r="15" spans="1:14">
      <c r="A15" s="148"/>
      <c r="B15" s="165"/>
      <c r="C15" s="166" t="s">
        <v>112</v>
      </c>
      <c r="D15" s="167"/>
      <c r="E15" s="168"/>
      <c r="F15" s="169"/>
      <c r="G15" s="169"/>
      <c r="H15" s="169"/>
      <c r="I15" s="170"/>
      <c r="J15" s="169"/>
      <c r="K15" s="171"/>
      <c r="L15" s="169"/>
      <c r="M15" s="169"/>
      <c r="N15" s="163"/>
    </row>
    <row r="16" spans="1:14" ht="22.5">
      <c r="A16" s="148"/>
      <c r="B16" s="172"/>
      <c r="C16" s="173" t="s">
        <v>113</v>
      </c>
      <c r="D16" s="174" t="s">
        <v>114</v>
      </c>
      <c r="E16" s="175"/>
      <c r="F16" s="176">
        <v>32.200000000000003</v>
      </c>
      <c r="G16" s="176">
        <v>22</v>
      </c>
      <c r="H16" s="176">
        <v>150</v>
      </c>
      <c r="I16" s="177">
        <v>1600</v>
      </c>
      <c r="J16" s="176">
        <v>2400</v>
      </c>
      <c r="K16" s="178">
        <v>1096</v>
      </c>
      <c r="L16" s="176"/>
      <c r="M16" s="176"/>
      <c r="N16" s="163"/>
    </row>
    <row r="17" spans="1:14" ht="22.5">
      <c r="A17" s="148"/>
      <c r="B17" s="172"/>
      <c r="C17" s="173" t="s">
        <v>115</v>
      </c>
      <c r="D17" s="174" t="s">
        <v>114</v>
      </c>
      <c r="E17" s="175"/>
      <c r="F17" s="176">
        <v>14.8</v>
      </c>
      <c r="G17" s="176">
        <v>14.8</v>
      </c>
      <c r="H17" s="176">
        <v>50</v>
      </c>
      <c r="I17" s="177">
        <v>1600</v>
      </c>
      <c r="J17" s="176">
        <v>2500</v>
      </c>
      <c r="K17" s="178">
        <v>1120</v>
      </c>
      <c r="L17" s="176"/>
      <c r="M17" s="176"/>
      <c r="N17" s="163"/>
    </row>
    <row r="18" spans="1:14">
      <c r="A18" s="148"/>
      <c r="B18" s="172"/>
      <c r="C18" s="174" t="s">
        <v>116</v>
      </c>
      <c r="D18" s="174"/>
      <c r="E18" s="175"/>
      <c r="F18" s="179"/>
      <c r="G18" s="179"/>
      <c r="H18" s="179">
        <v>350</v>
      </c>
      <c r="I18" s="180">
        <v>375</v>
      </c>
      <c r="J18" s="179">
        <v>400</v>
      </c>
      <c r="K18" s="181"/>
      <c r="L18" s="179"/>
      <c r="M18" s="179"/>
      <c r="N18" s="163"/>
    </row>
    <row r="19" spans="1:14">
      <c r="A19" s="148"/>
      <c r="B19" s="182"/>
      <c r="C19" s="183" t="s">
        <v>117</v>
      </c>
      <c r="D19" s="183"/>
      <c r="E19" s="184"/>
      <c r="F19" s="185"/>
      <c r="G19" s="185"/>
      <c r="H19" s="185"/>
      <c r="I19" s="186">
        <v>250</v>
      </c>
      <c r="J19" s="185"/>
      <c r="K19" s="187"/>
      <c r="L19" s="185"/>
      <c r="M19" s="185"/>
      <c r="N19" s="163"/>
    </row>
    <row r="20" spans="1:14">
      <c r="A20" s="148"/>
      <c r="B20" s="149"/>
      <c r="C20" s="150"/>
      <c r="D20" s="150"/>
      <c r="E20" s="151"/>
      <c r="F20" s="152"/>
      <c r="G20" s="152"/>
      <c r="H20" s="152"/>
      <c r="I20" s="157"/>
      <c r="J20" s="153"/>
      <c r="K20" s="154"/>
      <c r="L20" s="152"/>
      <c r="M20" s="153"/>
      <c r="N20" s="163"/>
    </row>
    <row r="21" spans="1:14">
      <c r="A21" s="148"/>
      <c r="B21" s="149"/>
      <c r="C21" s="164" t="s">
        <v>118</v>
      </c>
      <c r="D21" s="150"/>
      <c r="E21" s="151"/>
      <c r="F21" s="152"/>
      <c r="G21" s="152"/>
      <c r="H21" s="152"/>
      <c r="I21" s="157"/>
      <c r="J21" s="153"/>
      <c r="K21" s="154"/>
      <c r="L21" s="152"/>
      <c r="M21" s="153"/>
      <c r="N21" s="163"/>
    </row>
    <row r="22" spans="1:14" ht="33.75">
      <c r="A22" s="148"/>
      <c r="B22" s="149"/>
      <c r="C22" s="188" t="s">
        <v>119</v>
      </c>
      <c r="D22" s="150" t="s">
        <v>120</v>
      </c>
      <c r="E22" s="151"/>
      <c r="F22" s="152">
        <v>509.4</v>
      </c>
      <c r="G22" s="152">
        <v>38.4</v>
      </c>
      <c r="H22" s="152">
        <v>16</v>
      </c>
      <c r="I22" s="157"/>
      <c r="J22" s="153"/>
      <c r="K22" s="154"/>
      <c r="L22" s="152"/>
      <c r="M22" s="153"/>
      <c r="N22" s="163"/>
    </row>
    <row r="23" spans="1:14">
      <c r="A23" s="148"/>
      <c r="B23" s="149"/>
      <c r="C23" s="150" t="s">
        <v>121</v>
      </c>
      <c r="D23" s="150"/>
      <c r="E23" s="151"/>
      <c r="F23" s="152">
        <v>0.2</v>
      </c>
      <c r="G23" s="152">
        <v>0.1</v>
      </c>
      <c r="H23" s="152"/>
      <c r="I23" s="157"/>
      <c r="J23" s="153"/>
      <c r="K23" s="154"/>
      <c r="L23" s="152"/>
      <c r="M23" s="153"/>
      <c r="N23" s="163"/>
    </row>
    <row r="24" spans="1:14">
      <c r="A24" s="148"/>
      <c r="B24" s="149"/>
      <c r="C24" s="150" t="s">
        <v>122</v>
      </c>
      <c r="D24" s="150"/>
      <c r="E24" s="151"/>
      <c r="F24" s="152"/>
      <c r="G24" s="152"/>
      <c r="H24" s="152">
        <v>50</v>
      </c>
      <c r="I24" s="157">
        <v>50</v>
      </c>
      <c r="J24" s="153">
        <v>50</v>
      </c>
      <c r="K24" s="154">
        <v>50</v>
      </c>
      <c r="L24" s="152">
        <v>50</v>
      </c>
      <c r="M24" s="153">
        <v>50</v>
      </c>
      <c r="N24" s="163"/>
    </row>
    <row r="25" spans="1:14">
      <c r="A25" s="148"/>
      <c r="B25" s="149"/>
      <c r="C25" s="150" t="s">
        <v>123</v>
      </c>
      <c r="D25" s="150"/>
      <c r="E25" s="151"/>
      <c r="F25" s="152"/>
      <c r="G25" s="152">
        <v>1.2</v>
      </c>
      <c r="H25" s="152">
        <v>30</v>
      </c>
      <c r="I25" s="157"/>
      <c r="J25" s="153">
        <v>320</v>
      </c>
      <c r="K25" s="154"/>
      <c r="L25" s="152"/>
      <c r="M25" s="153"/>
      <c r="N25" s="163"/>
    </row>
    <row r="26" spans="1:14" ht="22.5">
      <c r="A26" s="148"/>
      <c r="B26" s="149"/>
      <c r="C26" s="150" t="s">
        <v>124</v>
      </c>
      <c r="D26" s="150"/>
      <c r="E26" s="151"/>
      <c r="F26" s="152"/>
      <c r="G26" s="152"/>
      <c r="H26" s="152"/>
      <c r="I26" s="157">
        <v>1146</v>
      </c>
      <c r="J26" s="153"/>
      <c r="K26" s="154"/>
      <c r="L26" s="152"/>
      <c r="M26" s="153"/>
      <c r="N26" s="163"/>
    </row>
    <row r="27" spans="1:14">
      <c r="A27" s="148"/>
      <c r="B27" s="149"/>
      <c r="C27" s="150" t="s">
        <v>125</v>
      </c>
      <c r="D27" s="150"/>
      <c r="E27" s="151"/>
      <c r="F27" s="152"/>
      <c r="G27" s="152"/>
      <c r="H27" s="152">
        <v>50</v>
      </c>
      <c r="I27" s="157">
        <v>250</v>
      </c>
      <c r="J27" s="153">
        <v>250</v>
      </c>
      <c r="K27" s="154">
        <v>2500</v>
      </c>
      <c r="L27" s="152">
        <v>2200</v>
      </c>
      <c r="M27" s="153"/>
      <c r="N27" s="163"/>
    </row>
    <row r="28" spans="1:14">
      <c r="A28" s="148"/>
      <c r="B28" s="149"/>
      <c r="C28" s="150" t="s">
        <v>126</v>
      </c>
      <c r="D28" s="150"/>
      <c r="E28" s="151"/>
      <c r="F28" s="152"/>
      <c r="G28" s="152"/>
      <c r="H28" s="152"/>
      <c r="I28" s="157"/>
      <c r="J28" s="153"/>
      <c r="K28" s="154"/>
      <c r="L28" s="152">
        <v>1000</v>
      </c>
      <c r="M28" s="153">
        <v>1000</v>
      </c>
      <c r="N28" s="163"/>
    </row>
    <row r="29" spans="1:14">
      <c r="A29" s="148"/>
      <c r="B29" s="149"/>
      <c r="C29" s="150" t="s">
        <v>127</v>
      </c>
      <c r="D29" s="150"/>
      <c r="E29" s="151"/>
      <c r="F29" s="152"/>
      <c r="G29" s="152"/>
      <c r="H29" s="152"/>
      <c r="I29" s="157"/>
      <c r="J29" s="153">
        <v>25</v>
      </c>
      <c r="K29" s="154"/>
      <c r="L29" s="152"/>
      <c r="M29" s="153"/>
      <c r="N29" s="163"/>
    </row>
    <row r="30" spans="1:14">
      <c r="A30" s="148"/>
      <c r="B30" s="149"/>
      <c r="C30" s="150"/>
      <c r="D30" s="150"/>
      <c r="E30" s="151"/>
      <c r="F30" s="152"/>
      <c r="G30" s="152"/>
      <c r="H30" s="152"/>
      <c r="I30" s="157"/>
      <c r="J30" s="153"/>
      <c r="K30" s="154"/>
      <c r="L30" s="152"/>
      <c r="M30" s="153"/>
      <c r="N30" s="163"/>
    </row>
    <row r="31" spans="1:14">
      <c r="A31" s="148"/>
      <c r="B31" s="149"/>
      <c r="C31" s="164" t="s">
        <v>128</v>
      </c>
      <c r="D31" s="150"/>
      <c r="E31" s="151"/>
      <c r="F31" s="152"/>
      <c r="G31" s="152"/>
      <c r="H31" s="152"/>
      <c r="I31" s="157"/>
      <c r="J31" s="153"/>
      <c r="K31" s="154"/>
      <c r="L31" s="152"/>
      <c r="M31" s="153"/>
      <c r="N31" s="163"/>
    </row>
    <row r="32" spans="1:14" ht="33.75">
      <c r="A32" s="148"/>
      <c r="B32" s="149"/>
      <c r="C32" s="188" t="s">
        <v>129</v>
      </c>
      <c r="D32" s="150" t="s">
        <v>130</v>
      </c>
      <c r="E32" s="151"/>
      <c r="F32" s="189">
        <v>55.9</v>
      </c>
      <c r="G32" s="189">
        <v>620.79999999999995</v>
      </c>
      <c r="H32" s="189">
        <v>2700</v>
      </c>
      <c r="I32" s="190">
        <v>1160</v>
      </c>
      <c r="J32" s="191">
        <v>366</v>
      </c>
      <c r="K32" s="192"/>
      <c r="L32" s="189"/>
      <c r="M32" s="191"/>
      <c r="N32" s="163"/>
    </row>
    <row r="33" spans="1:14">
      <c r="A33" s="148"/>
      <c r="B33" s="149"/>
      <c r="C33" s="150" t="s">
        <v>151</v>
      </c>
      <c r="D33" s="150"/>
      <c r="E33" s="151"/>
      <c r="F33" s="152"/>
      <c r="G33" s="152"/>
      <c r="H33" s="152">
        <v>11</v>
      </c>
      <c r="I33" s="157"/>
      <c r="J33" s="153"/>
      <c r="K33" s="154">
        <v>30</v>
      </c>
      <c r="L33" s="152"/>
      <c r="M33" s="153">
        <v>30</v>
      </c>
      <c r="N33" s="163"/>
    </row>
    <row r="34" spans="1:14">
      <c r="A34" s="148"/>
      <c r="B34" s="149"/>
      <c r="C34" s="150" t="s">
        <v>131</v>
      </c>
      <c r="D34" s="150"/>
      <c r="E34" s="151"/>
      <c r="F34" s="152">
        <v>43.8</v>
      </c>
      <c r="G34" s="152"/>
      <c r="H34" s="152"/>
      <c r="I34" s="157"/>
      <c r="J34" s="152">
        <v>145</v>
      </c>
      <c r="K34" s="197">
        <v>160</v>
      </c>
      <c r="L34" s="152">
        <v>145</v>
      </c>
      <c r="M34" s="152">
        <v>150</v>
      </c>
      <c r="N34" s="163"/>
    </row>
    <row r="35" spans="1:14">
      <c r="A35" s="148"/>
      <c r="B35" s="149"/>
      <c r="C35" s="150" t="s">
        <v>152</v>
      </c>
      <c r="D35" s="150"/>
      <c r="E35" s="151"/>
      <c r="F35" s="152"/>
      <c r="G35" s="152"/>
      <c r="H35" s="152"/>
      <c r="I35" s="152"/>
      <c r="J35" s="152">
        <v>60</v>
      </c>
      <c r="K35" s="197">
        <v>70</v>
      </c>
      <c r="L35" s="152"/>
      <c r="M35" s="152"/>
      <c r="N35" s="163"/>
    </row>
    <row r="36" spans="1:14">
      <c r="A36" s="148"/>
      <c r="B36" s="149"/>
      <c r="C36" s="150" t="s">
        <v>153</v>
      </c>
      <c r="D36" s="150"/>
      <c r="E36" s="151"/>
      <c r="F36" s="152"/>
      <c r="G36" s="152"/>
      <c r="H36" s="152"/>
      <c r="I36" s="152"/>
      <c r="J36" s="152">
        <v>140</v>
      </c>
      <c r="K36" s="197">
        <v>70</v>
      </c>
      <c r="L36" s="152">
        <v>130</v>
      </c>
      <c r="M36" s="152">
        <v>70</v>
      </c>
      <c r="N36" s="163"/>
    </row>
    <row r="37" spans="1:14">
      <c r="A37" s="148"/>
      <c r="B37" s="149"/>
      <c r="C37" s="150" t="s">
        <v>154</v>
      </c>
      <c r="D37" s="150"/>
      <c r="E37" s="151"/>
      <c r="F37" s="152"/>
      <c r="G37" s="152"/>
      <c r="H37" s="152"/>
      <c r="I37" s="152"/>
      <c r="J37" s="152">
        <v>40</v>
      </c>
      <c r="K37" s="197">
        <v>20</v>
      </c>
      <c r="L37" s="152">
        <v>30</v>
      </c>
      <c r="M37" s="152">
        <v>30</v>
      </c>
      <c r="N37" s="163"/>
    </row>
    <row r="38" spans="1:14">
      <c r="A38" s="148"/>
      <c r="B38" s="193"/>
      <c r="C38" s="194"/>
      <c r="D38" s="194"/>
      <c r="E38" s="195"/>
      <c r="F38" s="196"/>
      <c r="G38" s="196"/>
      <c r="H38" s="196"/>
      <c r="I38" s="157"/>
      <c r="J38" s="153"/>
      <c r="K38" s="197"/>
      <c r="L38" s="152"/>
      <c r="M38" s="152"/>
      <c r="N38" s="163"/>
    </row>
    <row r="39" spans="1:14">
      <c r="A39" s="198"/>
      <c r="B39" s="199" t="s">
        <v>98</v>
      </c>
      <c r="C39" s="161"/>
      <c r="D39" s="200"/>
      <c r="E39" s="200"/>
      <c r="F39" s="201">
        <f>SUM(F11:F38)</f>
        <v>671.09999999999991</v>
      </c>
      <c r="G39" s="201">
        <f t="shared" ref="G39:M39" si="1">SUM(G11:G38)</f>
        <v>697.3</v>
      </c>
      <c r="H39" s="201">
        <f t="shared" si="1"/>
        <v>3407</v>
      </c>
      <c r="I39" s="201">
        <f t="shared" si="1"/>
        <v>6431</v>
      </c>
      <c r="J39" s="201">
        <f t="shared" si="1"/>
        <v>7076</v>
      </c>
      <c r="K39" s="201">
        <f t="shared" si="1"/>
        <v>5116</v>
      </c>
      <c r="L39" s="201">
        <f t="shared" si="1"/>
        <v>3555</v>
      </c>
      <c r="M39" s="201">
        <f t="shared" si="1"/>
        <v>1330</v>
      </c>
      <c r="N39" s="163"/>
    </row>
    <row r="40" spans="1:14" s="210" customFormat="1">
      <c r="A40" s="198"/>
      <c r="B40" s="202"/>
      <c r="C40" s="203"/>
      <c r="D40" s="204"/>
      <c r="E40" s="205"/>
      <c r="F40" s="206"/>
      <c r="G40" s="206"/>
      <c r="H40" s="206"/>
      <c r="I40" s="207"/>
      <c r="J40" s="208"/>
      <c r="K40" s="208"/>
      <c r="L40" s="206"/>
      <c r="M40" s="206"/>
      <c r="N40" s="209"/>
    </row>
    <row r="41" spans="1:14">
      <c r="A41" s="211">
        <v>3</v>
      </c>
      <c r="B41" s="212" t="s">
        <v>99</v>
      </c>
      <c r="C41" s="213"/>
      <c r="D41" s="213"/>
      <c r="E41" s="151"/>
      <c r="F41" s="152"/>
      <c r="G41" s="152"/>
      <c r="H41" s="152"/>
      <c r="I41" s="156"/>
      <c r="J41" s="152"/>
      <c r="K41" s="197"/>
      <c r="L41" s="152"/>
      <c r="M41" s="152"/>
      <c r="N41" s="163"/>
    </row>
    <row r="42" spans="1:14">
      <c r="A42" s="211"/>
      <c r="B42" s="214" t="s">
        <v>132</v>
      </c>
      <c r="C42" s="213"/>
      <c r="D42" s="213"/>
      <c r="E42" s="151"/>
      <c r="F42" s="206">
        <f>SUM(F44:F49)</f>
        <v>1165.3999999999999</v>
      </c>
      <c r="G42" s="206">
        <f t="shared" ref="G42:M42" si="2">SUM(G44:G49)</f>
        <v>1334.1</v>
      </c>
      <c r="H42" s="206">
        <f t="shared" si="2"/>
        <v>1432</v>
      </c>
      <c r="I42" s="206">
        <f t="shared" si="2"/>
        <v>1402</v>
      </c>
      <c r="J42" s="206">
        <f t="shared" si="2"/>
        <v>1452</v>
      </c>
      <c r="K42" s="206">
        <f t="shared" si="2"/>
        <v>1432</v>
      </c>
      <c r="L42" s="206">
        <f t="shared" si="2"/>
        <v>1502</v>
      </c>
      <c r="M42" s="206">
        <f t="shared" si="2"/>
        <v>1502</v>
      </c>
      <c r="N42" s="163"/>
    </row>
    <row r="43" spans="1:14">
      <c r="A43" s="211"/>
      <c r="B43" s="215" t="s">
        <v>133</v>
      </c>
      <c r="C43" s="213"/>
      <c r="D43" s="213"/>
      <c r="E43" s="151"/>
      <c r="F43" s="152"/>
      <c r="G43" s="152"/>
      <c r="H43" s="152"/>
      <c r="I43" s="156"/>
      <c r="J43" s="152"/>
      <c r="K43" s="197"/>
      <c r="L43" s="152"/>
      <c r="M43" s="152"/>
      <c r="N43" s="163"/>
    </row>
    <row r="44" spans="1:14">
      <c r="A44" s="211"/>
      <c r="B44" s="215" t="s">
        <v>134</v>
      </c>
      <c r="C44" s="216"/>
      <c r="D44" s="213"/>
      <c r="E44" s="151"/>
      <c r="F44" s="152">
        <v>834.5</v>
      </c>
      <c r="G44" s="152">
        <v>1155.7</v>
      </c>
      <c r="H44" s="152">
        <v>769</v>
      </c>
      <c r="I44" s="156">
        <v>769</v>
      </c>
      <c r="J44" s="152">
        <v>769</v>
      </c>
      <c r="K44" s="197">
        <v>769</v>
      </c>
      <c r="L44" s="152">
        <v>769</v>
      </c>
      <c r="M44" s="152">
        <v>769</v>
      </c>
      <c r="N44" s="163"/>
    </row>
    <row r="45" spans="1:14">
      <c r="A45" s="211"/>
      <c r="B45" s="215" t="s">
        <v>135</v>
      </c>
      <c r="C45" s="216"/>
      <c r="D45" s="213"/>
      <c r="E45" s="151"/>
      <c r="F45" s="152">
        <v>9.4</v>
      </c>
      <c r="G45" s="152">
        <v>4.3</v>
      </c>
      <c r="H45" s="152">
        <v>30</v>
      </c>
      <c r="I45" s="156">
        <v>0</v>
      </c>
      <c r="J45" s="152">
        <v>50</v>
      </c>
      <c r="K45" s="197">
        <v>30</v>
      </c>
      <c r="L45" s="152">
        <v>100</v>
      </c>
      <c r="M45" s="152">
        <v>100</v>
      </c>
      <c r="N45" s="163"/>
    </row>
    <row r="46" spans="1:14">
      <c r="A46" s="211"/>
      <c r="B46" s="215" t="s">
        <v>136</v>
      </c>
      <c r="C46" s="216"/>
      <c r="D46" s="213"/>
      <c r="E46" s="151"/>
      <c r="F46" s="152">
        <v>274.3</v>
      </c>
      <c r="G46" s="152">
        <v>174.1</v>
      </c>
      <c r="H46" s="152">
        <v>300</v>
      </c>
      <c r="I46" s="156">
        <v>300</v>
      </c>
      <c r="J46" s="152">
        <v>300</v>
      </c>
      <c r="K46" s="197">
        <v>300</v>
      </c>
      <c r="L46" s="152">
        <v>300</v>
      </c>
      <c r="M46" s="152">
        <v>300</v>
      </c>
      <c r="N46" s="163"/>
    </row>
    <row r="47" spans="1:14">
      <c r="A47" s="211"/>
      <c r="B47" s="215" t="s">
        <v>137</v>
      </c>
      <c r="C47" s="216"/>
      <c r="D47" s="213"/>
      <c r="E47" s="151"/>
      <c r="F47" s="152">
        <v>43.6</v>
      </c>
      <c r="G47" s="152"/>
      <c r="H47" s="152">
        <v>283</v>
      </c>
      <c r="I47" s="156">
        <v>333</v>
      </c>
      <c r="J47" s="152">
        <v>333</v>
      </c>
      <c r="K47" s="197">
        <v>333</v>
      </c>
      <c r="L47" s="152">
        <v>333</v>
      </c>
      <c r="M47" s="152">
        <v>333</v>
      </c>
      <c r="N47" s="163"/>
    </row>
    <row r="48" spans="1:14">
      <c r="A48" s="211"/>
      <c r="B48" s="215" t="s">
        <v>138</v>
      </c>
      <c r="C48" s="216"/>
      <c r="D48" s="213"/>
      <c r="E48" s="151"/>
      <c r="F48" s="152"/>
      <c r="G48" s="152"/>
      <c r="H48" s="152">
        <v>50</v>
      </c>
      <c r="I48" s="156"/>
      <c r="J48" s="152"/>
      <c r="K48" s="197"/>
      <c r="L48" s="152"/>
      <c r="M48" s="152"/>
      <c r="N48" s="163"/>
    </row>
    <row r="49" spans="1:15">
      <c r="A49" s="211"/>
      <c r="B49" s="215" t="s">
        <v>139</v>
      </c>
      <c r="C49" s="216"/>
      <c r="D49" s="213"/>
      <c r="E49" s="151"/>
      <c r="F49" s="152">
        <v>3.6</v>
      </c>
      <c r="G49" s="152"/>
      <c r="H49" s="152"/>
      <c r="I49" s="156"/>
      <c r="J49" s="152"/>
      <c r="K49" s="197"/>
      <c r="L49" s="152"/>
      <c r="M49" s="152"/>
      <c r="N49" s="163"/>
    </row>
    <row r="50" spans="1:15">
      <c r="A50" s="211"/>
      <c r="B50" s="212" t="s">
        <v>140</v>
      </c>
      <c r="C50" s="216"/>
      <c r="D50" s="213"/>
      <c r="E50" s="151"/>
      <c r="F50" s="206">
        <f>SUM(F51:F52)</f>
        <v>0</v>
      </c>
      <c r="G50" s="206">
        <f t="shared" ref="G50:M50" si="3">SUM(G51:G52)</f>
        <v>0</v>
      </c>
      <c r="H50" s="206">
        <f t="shared" si="3"/>
        <v>0</v>
      </c>
      <c r="I50" s="206">
        <f t="shared" si="3"/>
        <v>300</v>
      </c>
      <c r="J50" s="206">
        <f t="shared" si="3"/>
        <v>300</v>
      </c>
      <c r="K50" s="206">
        <f t="shared" si="3"/>
        <v>370</v>
      </c>
      <c r="L50" s="206">
        <f t="shared" si="3"/>
        <v>0</v>
      </c>
      <c r="M50" s="206">
        <f t="shared" si="3"/>
        <v>0</v>
      </c>
      <c r="N50" s="163"/>
    </row>
    <row r="51" spans="1:15">
      <c r="A51" s="211"/>
      <c r="B51" s="215" t="s">
        <v>141</v>
      </c>
      <c r="C51" s="216"/>
      <c r="D51" s="213"/>
      <c r="E51" s="151"/>
      <c r="F51" s="152"/>
      <c r="G51" s="152"/>
      <c r="H51" s="152"/>
      <c r="I51" s="156">
        <v>300</v>
      </c>
      <c r="J51" s="152">
        <v>300</v>
      </c>
      <c r="K51" s="197"/>
      <c r="L51" s="152"/>
      <c r="M51" s="152"/>
      <c r="N51" s="163"/>
    </row>
    <row r="52" spans="1:15">
      <c r="A52" s="211"/>
      <c r="B52" s="215" t="s">
        <v>142</v>
      </c>
      <c r="C52" s="216"/>
      <c r="D52" s="213"/>
      <c r="E52" s="151"/>
      <c r="F52" s="152"/>
      <c r="G52" s="152"/>
      <c r="H52" s="152"/>
      <c r="I52" s="156"/>
      <c r="J52" s="152"/>
      <c r="K52" s="197">
        <v>370</v>
      </c>
      <c r="L52" s="152"/>
      <c r="M52" s="152"/>
      <c r="N52" s="163"/>
    </row>
    <row r="53" spans="1:15">
      <c r="A53" s="211"/>
      <c r="B53" s="217"/>
      <c r="C53" s="218" t="s">
        <v>95</v>
      </c>
      <c r="D53" s="219"/>
      <c r="E53" s="220"/>
      <c r="F53" s="152"/>
      <c r="G53" s="152"/>
      <c r="H53" s="152"/>
      <c r="I53" s="156"/>
      <c r="J53" s="152"/>
      <c r="K53" s="197"/>
      <c r="L53" s="152"/>
      <c r="M53" s="152"/>
      <c r="N53" s="163"/>
    </row>
    <row r="54" spans="1:15">
      <c r="A54" s="211"/>
      <c r="B54" s="159" t="s">
        <v>100</v>
      </c>
      <c r="C54" s="160"/>
      <c r="D54" s="160"/>
      <c r="E54" s="161"/>
      <c r="F54" s="201">
        <f>SUM(F42+F50)</f>
        <v>1165.3999999999999</v>
      </c>
      <c r="G54" s="201">
        <f t="shared" ref="G54:M54" si="4">SUM(G42+G50)</f>
        <v>1334.1</v>
      </c>
      <c r="H54" s="201">
        <f t="shared" si="4"/>
        <v>1432</v>
      </c>
      <c r="I54" s="201">
        <f t="shared" si="4"/>
        <v>1702</v>
      </c>
      <c r="J54" s="201">
        <f t="shared" si="4"/>
        <v>1752</v>
      </c>
      <c r="K54" s="201">
        <f t="shared" si="4"/>
        <v>1802</v>
      </c>
      <c r="L54" s="201">
        <f t="shared" si="4"/>
        <v>1502</v>
      </c>
      <c r="M54" s="201">
        <f t="shared" si="4"/>
        <v>1502</v>
      </c>
      <c r="N54" s="163"/>
    </row>
    <row r="55" spans="1:15">
      <c r="A55" s="211"/>
      <c r="B55" s="221"/>
      <c r="C55" s="213"/>
      <c r="D55" s="213"/>
      <c r="E55" s="151"/>
      <c r="F55" s="152"/>
      <c r="G55" s="152"/>
      <c r="H55" s="152"/>
      <c r="I55" s="156"/>
      <c r="J55" s="152"/>
      <c r="K55" s="197"/>
      <c r="L55" s="152"/>
      <c r="M55" s="152"/>
      <c r="N55" s="163"/>
    </row>
    <row r="56" spans="1:15">
      <c r="A56" s="222">
        <v>4</v>
      </c>
      <c r="B56" s="223" t="s">
        <v>101</v>
      </c>
      <c r="C56" s="213"/>
      <c r="D56" s="213"/>
      <c r="E56" s="151"/>
      <c r="F56" s="152"/>
      <c r="G56" s="152"/>
      <c r="H56" s="152"/>
      <c r="I56" s="156"/>
      <c r="J56" s="152"/>
      <c r="K56" s="197"/>
      <c r="L56" s="152"/>
      <c r="M56" s="152"/>
      <c r="N56" s="163"/>
    </row>
    <row r="57" spans="1:15">
      <c r="A57" s="224"/>
      <c r="B57" s="225" t="s">
        <v>102</v>
      </c>
      <c r="C57" s="160"/>
      <c r="D57" s="160"/>
      <c r="E57" s="160"/>
      <c r="F57" s="226">
        <f>SUM(F56)</f>
        <v>0</v>
      </c>
      <c r="G57" s="226">
        <f t="shared" ref="G57:M57" si="5">SUM(G56)</f>
        <v>0</v>
      </c>
      <c r="H57" s="226">
        <f t="shared" si="5"/>
        <v>0</v>
      </c>
      <c r="I57" s="226">
        <f t="shared" si="5"/>
        <v>0</v>
      </c>
      <c r="J57" s="226">
        <f t="shared" si="5"/>
        <v>0</v>
      </c>
      <c r="K57" s="226">
        <f t="shared" si="5"/>
        <v>0</v>
      </c>
      <c r="L57" s="226">
        <f t="shared" si="5"/>
        <v>0</v>
      </c>
      <c r="M57" s="201">
        <f t="shared" si="5"/>
        <v>0</v>
      </c>
      <c r="N57" s="163"/>
    </row>
    <row r="58" spans="1:15">
      <c r="A58" s="224"/>
      <c r="B58" s="227"/>
      <c r="C58" s="213"/>
      <c r="D58" s="213"/>
      <c r="E58" s="213"/>
      <c r="F58" s="208"/>
      <c r="G58" s="208"/>
      <c r="H58" s="208"/>
      <c r="I58" s="207"/>
      <c r="J58" s="208"/>
      <c r="K58" s="208"/>
      <c r="L58" s="208"/>
      <c r="M58" s="206"/>
      <c r="N58" s="163"/>
    </row>
    <row r="59" spans="1:15">
      <c r="A59" s="148">
        <v>5</v>
      </c>
      <c r="B59" s="228" t="s">
        <v>103</v>
      </c>
      <c r="C59" s="150"/>
      <c r="D59" s="150"/>
      <c r="E59" s="151"/>
      <c r="F59" s="152"/>
      <c r="G59" s="152"/>
      <c r="H59" s="152"/>
      <c r="I59" s="157"/>
      <c r="J59" s="153"/>
      <c r="K59" s="154"/>
      <c r="L59" s="152"/>
      <c r="M59" s="153"/>
      <c r="N59" s="163"/>
    </row>
    <row r="60" spans="1:15">
      <c r="A60" s="148"/>
      <c r="B60" s="159" t="s">
        <v>104</v>
      </c>
      <c r="C60" s="229"/>
      <c r="D60" s="229"/>
      <c r="E60" s="230"/>
      <c r="F60" s="201">
        <f>SUM(F59)</f>
        <v>0</v>
      </c>
      <c r="G60" s="201">
        <f t="shared" ref="G60:M60" si="6">SUM(G59)</f>
        <v>0</v>
      </c>
      <c r="H60" s="201">
        <f t="shared" si="6"/>
        <v>0</v>
      </c>
      <c r="I60" s="201">
        <f t="shared" si="6"/>
        <v>0</v>
      </c>
      <c r="J60" s="201">
        <f t="shared" si="6"/>
        <v>0</v>
      </c>
      <c r="K60" s="201">
        <f t="shared" si="6"/>
        <v>0</v>
      </c>
      <c r="L60" s="201">
        <f t="shared" si="6"/>
        <v>0</v>
      </c>
      <c r="M60" s="201">
        <f t="shared" si="6"/>
        <v>0</v>
      </c>
      <c r="N60" s="163"/>
    </row>
    <row r="61" spans="1:15">
      <c r="A61" s="148"/>
      <c r="B61" s="221"/>
      <c r="C61" s="231"/>
      <c r="D61" s="231"/>
      <c r="E61" s="232"/>
      <c r="F61" s="206"/>
      <c r="G61" s="206"/>
      <c r="H61" s="206"/>
      <c r="I61" s="206"/>
      <c r="J61" s="206"/>
      <c r="K61" s="206"/>
      <c r="L61" s="206"/>
      <c r="M61" s="206"/>
      <c r="N61" s="163"/>
    </row>
    <row r="62" spans="1:15">
      <c r="A62" s="233">
        <v>6</v>
      </c>
      <c r="B62" s="234" t="s">
        <v>105</v>
      </c>
      <c r="C62" s="150"/>
      <c r="D62" s="150"/>
      <c r="E62" s="151"/>
      <c r="F62" s="206">
        <f>SUM(F63:F70)</f>
        <v>161.92999999999998</v>
      </c>
      <c r="G62" s="206">
        <f t="shared" ref="G62:M62" si="7">SUM(G63:G70)</f>
        <v>152.84000000000003</v>
      </c>
      <c r="H62" s="206">
        <f t="shared" si="7"/>
        <v>340</v>
      </c>
      <c r="I62" s="206">
        <f t="shared" si="7"/>
        <v>265</v>
      </c>
      <c r="J62" s="206">
        <f t="shared" si="7"/>
        <v>386</v>
      </c>
      <c r="K62" s="206">
        <f t="shared" si="7"/>
        <v>486</v>
      </c>
      <c r="L62" s="206">
        <f t="shared" si="7"/>
        <v>386</v>
      </c>
      <c r="M62" s="206">
        <f t="shared" si="7"/>
        <v>386</v>
      </c>
      <c r="N62" s="235"/>
      <c r="O62" s="235"/>
    </row>
    <row r="63" spans="1:15">
      <c r="A63" s="233"/>
      <c r="B63" s="236" t="s">
        <v>143</v>
      </c>
      <c r="C63" s="150"/>
      <c r="D63" s="150"/>
      <c r="E63" s="151"/>
      <c r="F63" s="152"/>
      <c r="G63" s="152"/>
      <c r="H63" s="152"/>
      <c r="I63" s="152"/>
      <c r="J63" s="152"/>
      <c r="K63" s="152"/>
      <c r="L63" s="152"/>
      <c r="M63" s="152"/>
      <c r="N63" s="235"/>
      <c r="O63" s="235"/>
    </row>
    <row r="64" spans="1:15">
      <c r="A64" s="233"/>
      <c r="B64" s="236" t="s">
        <v>109</v>
      </c>
      <c r="C64" s="150"/>
      <c r="D64" s="150"/>
      <c r="E64" s="151"/>
      <c r="F64" s="152">
        <f>1.4+36.03</f>
        <v>37.43</v>
      </c>
      <c r="G64" s="152">
        <f>15.3+51.04</f>
        <v>66.34</v>
      </c>
      <c r="H64" s="152">
        <f>20+5+60</f>
        <v>85</v>
      </c>
      <c r="I64" s="152">
        <f>20+5+60</f>
        <v>85</v>
      </c>
      <c r="J64" s="152">
        <f>20+5+60</f>
        <v>85</v>
      </c>
      <c r="K64" s="152">
        <f t="shared" ref="K64:M64" si="8">20+5+60</f>
        <v>85</v>
      </c>
      <c r="L64" s="152">
        <f t="shared" si="8"/>
        <v>85</v>
      </c>
      <c r="M64" s="152">
        <f t="shared" si="8"/>
        <v>85</v>
      </c>
      <c r="N64" s="235"/>
      <c r="O64" s="235"/>
    </row>
    <row r="65" spans="1:15">
      <c r="A65" s="233"/>
      <c r="B65" s="236" t="s">
        <v>128</v>
      </c>
      <c r="C65" s="150"/>
      <c r="D65" s="150"/>
      <c r="E65" s="151"/>
      <c r="F65" s="152">
        <f>0+19.5</f>
        <v>19.5</v>
      </c>
      <c r="G65" s="152">
        <f>16.5+21.4</f>
        <v>37.9</v>
      </c>
      <c r="H65" s="152">
        <f>10+25</f>
        <v>35</v>
      </c>
      <c r="I65" s="152">
        <f>10+25</f>
        <v>35</v>
      </c>
      <c r="J65" s="152">
        <f>10+25+20</f>
        <v>55</v>
      </c>
      <c r="K65" s="152">
        <f>10+25+20</f>
        <v>55</v>
      </c>
      <c r="L65" s="152">
        <f t="shared" ref="L65:M65" si="9">10+25+20</f>
        <v>55</v>
      </c>
      <c r="M65" s="152">
        <f t="shared" si="9"/>
        <v>55</v>
      </c>
      <c r="N65" s="235"/>
      <c r="O65" s="235"/>
    </row>
    <row r="66" spans="1:15">
      <c r="A66" s="233"/>
      <c r="B66" s="236" t="s">
        <v>144</v>
      </c>
      <c r="C66" s="150"/>
      <c r="D66" s="150"/>
      <c r="E66" s="151"/>
      <c r="F66" s="152">
        <f>0+3.4</f>
        <v>3.4</v>
      </c>
      <c r="G66" s="152">
        <f>0+2.2</f>
        <v>2.2000000000000002</v>
      </c>
      <c r="H66" s="152">
        <f>0+9</f>
        <v>9</v>
      </c>
      <c r="I66" s="152">
        <f>0+9</f>
        <v>9</v>
      </c>
      <c r="J66" s="152">
        <f>SUM(100+9)</f>
        <v>109</v>
      </c>
      <c r="K66" s="152">
        <f t="shared" ref="K66:M66" si="10">SUM(100+9)</f>
        <v>109</v>
      </c>
      <c r="L66" s="152">
        <f t="shared" si="10"/>
        <v>109</v>
      </c>
      <c r="M66" s="152">
        <f t="shared" si="10"/>
        <v>109</v>
      </c>
      <c r="N66" s="235"/>
      <c r="O66" s="235"/>
    </row>
    <row r="67" spans="1:15">
      <c r="A67" s="233"/>
      <c r="B67" s="236" t="s">
        <v>118</v>
      </c>
      <c r="C67" s="150"/>
      <c r="D67" s="150"/>
      <c r="E67" s="151"/>
      <c r="F67" s="152">
        <f>0+2.5</f>
        <v>2.5</v>
      </c>
      <c r="G67" s="152">
        <f>0+7.7</f>
        <v>7.7</v>
      </c>
      <c r="H67" s="152">
        <f>40+10</f>
        <v>50</v>
      </c>
      <c r="I67" s="152">
        <f>40+10</f>
        <v>50</v>
      </c>
      <c r="J67" s="152">
        <f>40+10</f>
        <v>50</v>
      </c>
      <c r="K67" s="152">
        <f t="shared" ref="K67:M67" si="11">40+10</f>
        <v>50</v>
      </c>
      <c r="L67" s="152">
        <f t="shared" si="11"/>
        <v>50</v>
      </c>
      <c r="M67" s="152">
        <f t="shared" si="11"/>
        <v>50</v>
      </c>
      <c r="N67" s="235"/>
      <c r="O67" s="235"/>
    </row>
    <row r="68" spans="1:15">
      <c r="A68" s="233"/>
      <c r="B68" s="236" t="s">
        <v>145</v>
      </c>
      <c r="C68" s="150"/>
      <c r="D68" s="150"/>
      <c r="E68" s="151"/>
      <c r="F68" s="152">
        <f>8.4+73.8</f>
        <v>82.2</v>
      </c>
      <c r="G68" s="152">
        <f>4.2+16.7</f>
        <v>20.9</v>
      </c>
      <c r="H68" s="152">
        <f>110+34</f>
        <v>144</v>
      </c>
      <c r="I68" s="152">
        <f>35+34</f>
        <v>69</v>
      </c>
      <c r="J68" s="152">
        <f>35+35</f>
        <v>70</v>
      </c>
      <c r="K68" s="152">
        <f>135+35</f>
        <v>170</v>
      </c>
      <c r="L68" s="152">
        <f t="shared" ref="L68:M68" si="12">35+35</f>
        <v>70</v>
      </c>
      <c r="M68" s="152">
        <f t="shared" si="12"/>
        <v>70</v>
      </c>
      <c r="N68" s="235"/>
      <c r="O68" s="235"/>
    </row>
    <row r="69" spans="1:15">
      <c r="A69" s="233"/>
      <c r="B69" s="236" t="s">
        <v>146</v>
      </c>
      <c r="C69" s="150"/>
      <c r="D69" s="150"/>
      <c r="E69" s="151"/>
      <c r="F69" s="152">
        <f>0+13.2</f>
        <v>13.2</v>
      </c>
      <c r="G69" s="152">
        <f>0+17.5</f>
        <v>17.5</v>
      </c>
      <c r="H69" s="152">
        <f>0+14</f>
        <v>14</v>
      </c>
      <c r="I69" s="152">
        <f>0+14</f>
        <v>14</v>
      </c>
      <c r="J69" s="152">
        <f>0+14</f>
        <v>14</v>
      </c>
      <c r="K69" s="152">
        <f t="shared" ref="K69:M69" si="13">0+14</f>
        <v>14</v>
      </c>
      <c r="L69" s="152">
        <f t="shared" si="13"/>
        <v>14</v>
      </c>
      <c r="M69" s="152">
        <f t="shared" si="13"/>
        <v>14</v>
      </c>
      <c r="N69" s="235"/>
      <c r="O69" s="235"/>
    </row>
    <row r="70" spans="1:15">
      <c r="A70" s="233"/>
      <c r="B70" s="236" t="s">
        <v>147</v>
      </c>
      <c r="C70" s="150"/>
      <c r="D70" s="150"/>
      <c r="E70" s="151"/>
      <c r="F70" s="152">
        <f>0+3.7</f>
        <v>3.7</v>
      </c>
      <c r="G70" s="152">
        <f>0+0.3</f>
        <v>0.3</v>
      </c>
      <c r="H70" s="152">
        <f>0+3</f>
        <v>3</v>
      </c>
      <c r="I70" s="152">
        <f>0+3</f>
        <v>3</v>
      </c>
      <c r="J70" s="152">
        <f>0+3</f>
        <v>3</v>
      </c>
      <c r="K70" s="152">
        <f t="shared" ref="K70:M70" si="14">0+3</f>
        <v>3</v>
      </c>
      <c r="L70" s="152">
        <f t="shared" si="14"/>
        <v>3</v>
      </c>
      <c r="M70" s="152">
        <f t="shared" si="14"/>
        <v>3</v>
      </c>
      <c r="N70" s="235"/>
      <c r="O70" s="235"/>
    </row>
    <row r="71" spans="1:15">
      <c r="A71" s="148"/>
      <c r="B71" s="149"/>
      <c r="C71" s="150"/>
      <c r="D71" s="150"/>
      <c r="E71" s="151"/>
      <c r="F71" s="152"/>
      <c r="G71" s="152"/>
      <c r="H71" s="152"/>
      <c r="I71" s="152"/>
      <c r="J71" s="152"/>
      <c r="K71" s="152"/>
      <c r="L71" s="152"/>
      <c r="M71" s="152"/>
      <c r="N71" s="163"/>
    </row>
    <row r="72" spans="1:15">
      <c r="A72" s="237"/>
      <c r="B72" s="238" t="s">
        <v>106</v>
      </c>
      <c r="C72" s="239"/>
      <c r="D72" s="239"/>
      <c r="E72" s="240"/>
      <c r="F72" s="241">
        <f>SUM(F9+F39+F54+F57+F60+F62)</f>
        <v>2024.2299999999998</v>
      </c>
      <c r="G72" s="241">
        <f t="shared" ref="G72:M72" si="15">SUM(G9+G39+G54+G57+G60+G62)</f>
        <v>2208.94</v>
      </c>
      <c r="H72" s="241">
        <f t="shared" si="15"/>
        <v>5245</v>
      </c>
      <c r="I72" s="241">
        <f t="shared" si="15"/>
        <v>8458</v>
      </c>
      <c r="J72" s="241">
        <f t="shared" si="15"/>
        <v>9359</v>
      </c>
      <c r="K72" s="241">
        <f t="shared" si="15"/>
        <v>7454</v>
      </c>
      <c r="L72" s="241">
        <f t="shared" si="15"/>
        <v>5543</v>
      </c>
      <c r="M72" s="241">
        <f t="shared" si="15"/>
        <v>3268</v>
      </c>
      <c r="N72" s="163"/>
    </row>
    <row r="73" spans="1:15">
      <c r="F73" s="242"/>
      <c r="G73" s="242"/>
      <c r="H73" s="242"/>
      <c r="I73" s="242"/>
      <c r="J73" s="242"/>
      <c r="K73" s="242"/>
      <c r="L73" s="242"/>
      <c r="M73" s="242"/>
      <c r="N73" s="163"/>
    </row>
    <row r="74" spans="1:15">
      <c r="A74" s="130">
        <v>1</v>
      </c>
      <c r="B74" s="132" t="s">
        <v>107</v>
      </c>
      <c r="F74" s="242"/>
      <c r="G74" s="242"/>
      <c r="H74" s="242"/>
      <c r="I74" s="242"/>
      <c r="J74" s="242"/>
      <c r="K74" s="242"/>
      <c r="L74" s="242"/>
      <c r="M74" s="242"/>
      <c r="N74" s="163"/>
    </row>
    <row r="75" spans="1:15">
      <c r="A75" s="131"/>
      <c r="N75" s="163"/>
    </row>
    <row r="76" spans="1:15">
      <c r="N76" s="163"/>
    </row>
    <row r="77" spans="1:15">
      <c r="N77" s="163"/>
    </row>
    <row r="78" spans="1:15">
      <c r="N78" s="163"/>
    </row>
    <row r="79" spans="1:15">
      <c r="N79" s="163"/>
    </row>
  </sheetData>
  <mergeCells count="6">
    <mergeCell ref="D4:D5"/>
    <mergeCell ref="A1:M1"/>
    <mergeCell ref="A2:B2"/>
    <mergeCell ref="C2:M2"/>
    <mergeCell ref="J3:K3"/>
    <mergeCell ref="L3:M3"/>
  </mergeCells>
  <pageMargins left="0.51181102362204722" right="0" top="0.39370078740157483" bottom="0.19685039370078741" header="0.31496062992125984" footer="0.31496062992125984"/>
  <pageSetup paperSize="9" scale="66" fitToHeight="2" orientation="landscape" horizontalDpi="1200" verticalDpi="1200" r:id="rId1"/>
  <headerFooter>
    <oddHeader>&amp;RBlatt 2h</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abSelected="1" view="pageLayout" zoomScale="60" zoomScaleNormal="60" zoomScalePageLayoutView="60" workbookViewId="0">
      <selection activeCell="B22" sqref="B22"/>
    </sheetView>
  </sheetViews>
  <sheetFormatPr baseColWidth="10" defaultColWidth="1.42578125" defaultRowHeight="12.75" outlineLevelCol="1"/>
  <cols>
    <col min="1" max="1" width="6.42578125" style="297" bestFit="1" customWidth="1"/>
    <col min="2" max="2" width="38" style="297" bestFit="1" customWidth="1"/>
    <col min="3" max="5" width="6.140625" style="297" hidden="1" customWidth="1" outlineLevel="1"/>
    <col min="6" max="6" width="14.7109375" style="297" customWidth="1" outlineLevel="1"/>
    <col min="7" max="13" width="14.85546875" style="297" customWidth="1" outlineLevel="1"/>
    <col min="14" max="16384" width="1.42578125" style="297"/>
  </cols>
  <sheetData>
    <row r="1" spans="1:13" ht="18">
      <c r="A1" s="527" t="s">
        <v>86</v>
      </c>
      <c r="B1" s="528"/>
      <c r="C1" s="528"/>
      <c r="D1" s="528"/>
      <c r="E1" s="528"/>
      <c r="F1" s="528"/>
      <c r="G1" s="528"/>
      <c r="H1" s="528"/>
      <c r="I1" s="528"/>
      <c r="J1" s="528"/>
      <c r="K1" s="528"/>
      <c r="L1" s="528"/>
      <c r="M1" s="529"/>
    </row>
    <row r="2" spans="1:13" ht="15.75">
      <c r="A2" s="552" t="s">
        <v>157</v>
      </c>
      <c r="B2" s="553"/>
      <c r="C2" s="554"/>
      <c r="D2" s="555" t="s">
        <v>4</v>
      </c>
      <c r="E2" s="555"/>
      <c r="F2" s="555"/>
      <c r="G2" s="555"/>
      <c r="H2" s="555"/>
      <c r="I2" s="555"/>
      <c r="J2" s="555"/>
      <c r="K2" s="555"/>
      <c r="L2" s="555"/>
      <c r="M2" s="556"/>
    </row>
    <row r="3" spans="1:13" ht="17.25" customHeight="1">
      <c r="A3" s="447"/>
      <c r="B3" s="446"/>
      <c r="C3" s="446"/>
      <c r="D3" s="446"/>
      <c r="E3" s="446"/>
      <c r="F3" s="446"/>
      <c r="G3" s="446"/>
      <c r="H3" s="446"/>
      <c r="I3" s="446"/>
      <c r="J3" s="557" t="s">
        <v>8</v>
      </c>
      <c r="K3" s="558"/>
      <c r="L3" s="559" t="s">
        <v>9</v>
      </c>
      <c r="M3" s="558"/>
    </row>
    <row r="4" spans="1:13" ht="24.75" hidden="1" customHeight="1">
      <c r="A4" s="445"/>
      <c r="B4" s="441"/>
      <c r="C4" s="442"/>
      <c r="D4" s="444"/>
      <c r="E4" s="442"/>
      <c r="F4" s="442"/>
      <c r="G4" s="442"/>
      <c r="H4" s="438" t="s">
        <v>281</v>
      </c>
      <c r="I4" s="443"/>
      <c r="J4" s="442"/>
      <c r="K4" s="442"/>
      <c r="L4" s="442"/>
      <c r="M4" s="442"/>
    </row>
    <row r="5" spans="1:13" ht="14.25" customHeight="1">
      <c r="A5" s="560" t="s">
        <v>19</v>
      </c>
      <c r="B5" s="441"/>
      <c r="C5" s="440" t="s">
        <v>285</v>
      </c>
      <c r="D5" s="439" t="s">
        <v>284</v>
      </c>
      <c r="E5" s="438" t="s">
        <v>283</v>
      </c>
      <c r="F5" s="437" t="s">
        <v>11</v>
      </c>
      <c r="G5" s="437" t="s">
        <v>11</v>
      </c>
      <c r="H5" s="437" t="s">
        <v>12</v>
      </c>
      <c r="I5" s="437" t="s">
        <v>13</v>
      </c>
      <c r="J5" s="437" t="s">
        <v>18</v>
      </c>
      <c r="K5" s="437" t="s">
        <v>18</v>
      </c>
      <c r="L5" s="436" t="s">
        <v>18</v>
      </c>
      <c r="M5" s="435" t="s">
        <v>18</v>
      </c>
    </row>
    <row r="6" spans="1:13" ht="15" customHeight="1">
      <c r="A6" s="561"/>
      <c r="B6" s="434"/>
      <c r="C6" s="433" t="s">
        <v>282</v>
      </c>
      <c r="D6" s="433" t="s">
        <v>282</v>
      </c>
      <c r="E6" s="433"/>
      <c r="F6" s="432">
        <v>2015</v>
      </c>
      <c r="G6" s="432">
        <v>2016</v>
      </c>
      <c r="H6" s="432">
        <v>2017</v>
      </c>
      <c r="I6" s="432" t="s">
        <v>281</v>
      </c>
      <c r="J6" s="430">
        <v>2018</v>
      </c>
      <c r="K6" s="430">
        <v>2019</v>
      </c>
      <c r="L6" s="431">
        <v>2020</v>
      </c>
      <c r="M6" s="430">
        <v>2021</v>
      </c>
    </row>
    <row r="7" spans="1:13" ht="21.75" customHeight="1">
      <c r="A7" s="304"/>
      <c r="B7" s="429" t="s">
        <v>280</v>
      </c>
      <c r="C7" s="428"/>
      <c r="D7" s="423"/>
      <c r="E7" s="423"/>
      <c r="F7" s="423"/>
      <c r="G7" s="423"/>
      <c r="H7" s="423"/>
      <c r="I7" s="427"/>
      <c r="J7" s="423"/>
      <c r="K7" s="423"/>
      <c r="L7" s="423"/>
      <c r="M7" s="423"/>
    </row>
    <row r="8" spans="1:13" ht="17.100000000000001" customHeight="1">
      <c r="A8" s="425" t="s">
        <v>22</v>
      </c>
      <c r="B8" s="412" t="s">
        <v>279</v>
      </c>
      <c r="C8" s="421"/>
      <c r="D8" s="417"/>
      <c r="E8" s="423"/>
      <c r="F8" s="423">
        <v>195</v>
      </c>
      <c r="G8" s="423">
        <v>104</v>
      </c>
      <c r="H8" s="417">
        <v>170</v>
      </c>
      <c r="I8" s="426">
        <v>164</v>
      </c>
      <c r="J8" s="417">
        <v>309</v>
      </c>
      <c r="K8" s="417">
        <v>359</v>
      </c>
      <c r="L8" s="417">
        <v>459</v>
      </c>
      <c r="M8" s="417">
        <v>470</v>
      </c>
    </row>
    <row r="9" spans="1:13" ht="17.100000000000001" customHeight="1">
      <c r="A9" s="425" t="s">
        <v>24</v>
      </c>
      <c r="B9" s="424" t="s">
        <v>278</v>
      </c>
      <c r="C9" s="421"/>
      <c r="D9" s="417"/>
      <c r="E9" s="423"/>
      <c r="F9" s="417">
        <v>342419</v>
      </c>
      <c r="G9" s="417">
        <v>329411</v>
      </c>
      <c r="H9" s="417">
        <v>322412</v>
      </c>
      <c r="I9" s="418">
        <v>320420</v>
      </c>
      <c r="J9" s="417">
        <v>282420</v>
      </c>
      <c r="K9" s="417">
        <v>271551</v>
      </c>
      <c r="L9" s="417">
        <v>261762</v>
      </c>
      <c r="M9" s="417">
        <v>250762</v>
      </c>
    </row>
    <row r="10" spans="1:13" s="400" customFormat="1" ht="17.100000000000001" customHeight="1">
      <c r="A10" s="414" t="s">
        <v>26</v>
      </c>
      <c r="B10" s="417" t="s">
        <v>277</v>
      </c>
      <c r="C10" s="421"/>
      <c r="D10" s="417"/>
      <c r="E10" s="417"/>
      <c r="F10" s="417">
        <v>0</v>
      </c>
      <c r="G10" s="417">
        <v>0</v>
      </c>
      <c r="H10" s="417"/>
      <c r="I10" s="417"/>
      <c r="J10" s="417"/>
      <c r="K10" s="417"/>
      <c r="L10" s="417"/>
      <c r="M10" s="417"/>
    </row>
    <row r="11" spans="1:13" s="400" customFormat="1" ht="17.100000000000001" customHeight="1">
      <c r="A11" s="410">
        <v>1</v>
      </c>
      <c r="B11" s="420" t="s">
        <v>276</v>
      </c>
      <c r="C11" s="422"/>
      <c r="D11" s="420"/>
      <c r="E11" s="420"/>
      <c r="F11" s="420">
        <f t="shared" ref="F11:M11" si="0">SUM(F8:F10)</f>
        <v>342614</v>
      </c>
      <c r="G11" s="420">
        <f t="shared" si="0"/>
        <v>329515</v>
      </c>
      <c r="H11" s="420">
        <f t="shared" si="0"/>
        <v>322582</v>
      </c>
      <c r="I11" s="420">
        <f t="shared" si="0"/>
        <v>320584</v>
      </c>
      <c r="J11" s="420">
        <f t="shared" si="0"/>
        <v>282729</v>
      </c>
      <c r="K11" s="420">
        <f t="shared" si="0"/>
        <v>271910</v>
      </c>
      <c r="L11" s="420">
        <f t="shared" si="0"/>
        <v>262221</v>
      </c>
      <c r="M11" s="420">
        <f t="shared" si="0"/>
        <v>251232</v>
      </c>
    </row>
    <row r="12" spans="1:13" s="400" customFormat="1" ht="17.100000000000001" customHeight="1">
      <c r="A12" s="414" t="s">
        <v>275</v>
      </c>
      <c r="B12" s="417" t="s">
        <v>274</v>
      </c>
      <c r="C12" s="421"/>
      <c r="D12" s="417"/>
      <c r="E12" s="417"/>
      <c r="F12" s="417">
        <v>417</v>
      </c>
      <c r="G12" s="417">
        <v>406</v>
      </c>
      <c r="H12" s="417">
        <v>400</v>
      </c>
      <c r="I12" s="418">
        <v>400</v>
      </c>
      <c r="J12" s="417">
        <v>400</v>
      </c>
      <c r="K12" s="417">
        <v>400</v>
      </c>
      <c r="L12" s="417">
        <v>400</v>
      </c>
      <c r="M12" s="417">
        <v>400</v>
      </c>
    </row>
    <row r="13" spans="1:13" s="400" customFormat="1" ht="17.100000000000001" customHeight="1">
      <c r="A13" s="414" t="s">
        <v>273</v>
      </c>
      <c r="B13" s="417" t="s">
        <v>272</v>
      </c>
      <c r="C13" s="421"/>
      <c r="D13" s="417"/>
      <c r="E13" s="417"/>
      <c r="F13" s="417">
        <v>102000</v>
      </c>
      <c r="G13" s="417">
        <v>134725</v>
      </c>
      <c r="H13" s="417">
        <v>132580</v>
      </c>
      <c r="I13" s="418">
        <v>134425</v>
      </c>
      <c r="J13" s="417">
        <v>65885</v>
      </c>
      <c r="K13" s="417">
        <v>60828</v>
      </c>
      <c r="L13" s="417">
        <v>58500</v>
      </c>
      <c r="M13" s="417">
        <v>55500</v>
      </c>
    </row>
    <row r="14" spans="1:13" s="400" customFormat="1" ht="17.100000000000001" customHeight="1">
      <c r="A14" s="414" t="s">
        <v>271</v>
      </c>
      <c r="B14" s="412" t="s">
        <v>252</v>
      </c>
      <c r="C14" s="415"/>
      <c r="D14" s="415"/>
      <c r="E14" s="415"/>
      <c r="F14" s="415">
        <v>80171</v>
      </c>
      <c r="G14" s="415">
        <v>110235</v>
      </c>
      <c r="H14" s="415">
        <v>116110</v>
      </c>
      <c r="I14" s="416">
        <v>117935</v>
      </c>
      <c r="J14" s="415">
        <v>44395</v>
      </c>
      <c r="K14" s="415">
        <v>38217</v>
      </c>
      <c r="L14" s="415">
        <v>40100</v>
      </c>
      <c r="M14" s="415">
        <v>40100</v>
      </c>
    </row>
    <row r="15" spans="1:13" s="400" customFormat="1" ht="17.100000000000001" customHeight="1">
      <c r="A15" s="414" t="s">
        <v>270</v>
      </c>
      <c r="B15" s="417" t="s">
        <v>269</v>
      </c>
      <c r="C15" s="421"/>
      <c r="D15" s="417"/>
      <c r="E15" s="417"/>
      <c r="F15" s="417">
        <v>10</v>
      </c>
      <c r="G15" s="417">
        <v>23</v>
      </c>
      <c r="H15" s="417">
        <v>20</v>
      </c>
      <c r="I15" s="418">
        <v>20</v>
      </c>
      <c r="J15" s="417">
        <v>20</v>
      </c>
      <c r="K15" s="417">
        <v>20</v>
      </c>
      <c r="L15" s="417">
        <v>20</v>
      </c>
      <c r="M15" s="417">
        <v>20</v>
      </c>
    </row>
    <row r="16" spans="1:13" s="400" customFormat="1" ht="17.100000000000001" customHeight="1">
      <c r="A16" s="414" t="s">
        <v>268</v>
      </c>
      <c r="B16" s="417" t="s">
        <v>267</v>
      </c>
      <c r="C16" s="417"/>
      <c r="D16" s="417"/>
      <c r="E16" s="417"/>
      <c r="F16" s="417">
        <v>7</v>
      </c>
      <c r="G16" s="417">
        <v>7</v>
      </c>
      <c r="H16" s="417">
        <v>7</v>
      </c>
      <c r="I16" s="417">
        <v>7</v>
      </c>
      <c r="J16" s="417">
        <v>0</v>
      </c>
      <c r="K16" s="417">
        <v>0</v>
      </c>
      <c r="L16" s="417">
        <v>0</v>
      </c>
      <c r="M16" s="417">
        <v>0</v>
      </c>
    </row>
    <row r="17" spans="1:14" s="400" customFormat="1" ht="17.100000000000001" customHeight="1">
      <c r="A17" s="410">
        <v>2</v>
      </c>
      <c r="B17" s="420" t="s">
        <v>266</v>
      </c>
      <c r="C17" s="420"/>
      <c r="D17" s="420"/>
      <c r="E17" s="420"/>
      <c r="F17" s="420">
        <f t="shared" ref="F17:M17" si="1">F12+F13+F15+F16</f>
        <v>102434</v>
      </c>
      <c r="G17" s="420">
        <f t="shared" si="1"/>
        <v>135161</v>
      </c>
      <c r="H17" s="420">
        <f t="shared" si="1"/>
        <v>133007</v>
      </c>
      <c r="I17" s="420">
        <f t="shared" si="1"/>
        <v>134852</v>
      </c>
      <c r="J17" s="420">
        <f t="shared" si="1"/>
        <v>66305</v>
      </c>
      <c r="K17" s="420">
        <f t="shared" si="1"/>
        <v>61248</v>
      </c>
      <c r="L17" s="420">
        <f t="shared" si="1"/>
        <v>58920</v>
      </c>
      <c r="M17" s="420">
        <f t="shared" si="1"/>
        <v>55920</v>
      </c>
    </row>
    <row r="18" spans="1:14" s="400" customFormat="1" ht="17.100000000000001" customHeight="1">
      <c r="A18" s="410">
        <v>3</v>
      </c>
      <c r="B18" s="408" t="s">
        <v>265</v>
      </c>
      <c r="C18" s="408"/>
      <c r="D18" s="408"/>
      <c r="E18" s="408"/>
      <c r="F18" s="408">
        <v>40</v>
      </c>
      <c r="G18" s="408">
        <v>84</v>
      </c>
      <c r="H18" s="408">
        <v>50</v>
      </c>
      <c r="I18" s="409">
        <v>50</v>
      </c>
      <c r="J18" s="408">
        <v>50</v>
      </c>
      <c r="K18" s="408">
        <v>50</v>
      </c>
      <c r="L18" s="408">
        <v>50</v>
      </c>
      <c r="M18" s="408">
        <v>50</v>
      </c>
    </row>
    <row r="19" spans="1:14" s="400" customFormat="1" ht="17.100000000000001" customHeight="1">
      <c r="A19" s="410">
        <v>4</v>
      </c>
      <c r="B19" s="406" t="s">
        <v>264</v>
      </c>
      <c r="C19" s="406"/>
      <c r="D19" s="406"/>
      <c r="E19" s="406"/>
      <c r="F19" s="406">
        <f t="shared" ref="F19:M19" si="2">F11+F17+F18</f>
        <v>445088</v>
      </c>
      <c r="G19" s="406">
        <f t="shared" si="2"/>
        <v>464760</v>
      </c>
      <c r="H19" s="406">
        <f t="shared" si="2"/>
        <v>455639</v>
      </c>
      <c r="I19" s="406">
        <f t="shared" si="2"/>
        <v>455486</v>
      </c>
      <c r="J19" s="406">
        <f t="shared" si="2"/>
        <v>349084</v>
      </c>
      <c r="K19" s="406">
        <f t="shared" si="2"/>
        <v>333208</v>
      </c>
      <c r="L19" s="406">
        <f t="shared" si="2"/>
        <v>321191</v>
      </c>
      <c r="M19" s="406">
        <f t="shared" si="2"/>
        <v>307202</v>
      </c>
    </row>
    <row r="20" spans="1:14" s="400" customFormat="1" ht="17.100000000000001" customHeight="1">
      <c r="A20" s="410"/>
      <c r="B20" s="419" t="s">
        <v>263</v>
      </c>
      <c r="C20" s="417"/>
      <c r="D20" s="417"/>
      <c r="E20" s="417"/>
      <c r="F20" s="417"/>
      <c r="G20" s="417"/>
      <c r="H20" s="417"/>
      <c r="I20" s="418"/>
      <c r="J20" s="417"/>
      <c r="K20" s="417"/>
      <c r="L20" s="417"/>
      <c r="M20" s="417"/>
    </row>
    <row r="21" spans="1:14" s="400" customFormat="1" ht="17.100000000000001" customHeight="1">
      <c r="A21" s="410">
        <v>5</v>
      </c>
      <c r="B21" s="408" t="s">
        <v>184</v>
      </c>
      <c r="C21" s="408"/>
      <c r="D21" s="408"/>
      <c r="E21" s="408"/>
      <c r="F21" s="408">
        <v>144863</v>
      </c>
      <c r="G21" s="408">
        <v>163051</v>
      </c>
      <c r="H21" s="408">
        <v>162474</v>
      </c>
      <c r="I21" s="409">
        <v>161194</v>
      </c>
      <c r="J21" s="408">
        <v>162652</v>
      </c>
      <c r="K21" s="408">
        <v>161203</v>
      </c>
      <c r="L21" s="408">
        <v>163563</v>
      </c>
      <c r="M21" s="408">
        <v>164289</v>
      </c>
    </row>
    <row r="22" spans="1:14" s="400" customFormat="1" ht="17.100000000000001" customHeight="1">
      <c r="A22" s="410">
        <v>6</v>
      </c>
      <c r="B22" s="408" t="s">
        <v>262</v>
      </c>
      <c r="C22" s="408"/>
      <c r="D22" s="408"/>
      <c r="E22" s="408"/>
      <c r="F22" s="408">
        <v>82342</v>
      </c>
      <c r="G22" s="408">
        <v>76902</v>
      </c>
      <c r="H22" s="408">
        <v>71248</v>
      </c>
      <c r="I22" s="409">
        <v>71018</v>
      </c>
      <c r="J22" s="408">
        <v>65593</v>
      </c>
      <c r="K22" s="408">
        <v>59938</v>
      </c>
      <c r="L22" s="408">
        <v>54283</v>
      </c>
      <c r="M22" s="408">
        <v>48628</v>
      </c>
    </row>
    <row r="23" spans="1:14" s="400" customFormat="1" ht="17.100000000000001" customHeight="1">
      <c r="A23" s="414" t="s">
        <v>261</v>
      </c>
      <c r="B23" s="412" t="s">
        <v>260</v>
      </c>
      <c r="C23" s="415"/>
      <c r="D23" s="415"/>
      <c r="E23" s="415"/>
      <c r="F23" s="415">
        <v>14503</v>
      </c>
      <c r="G23" s="415">
        <v>13390</v>
      </c>
      <c r="H23" s="415">
        <v>12277</v>
      </c>
      <c r="I23" s="416">
        <v>12277</v>
      </c>
      <c r="J23" s="415">
        <v>11164</v>
      </c>
      <c r="K23" s="415">
        <v>10051</v>
      </c>
      <c r="L23" s="415">
        <v>8938</v>
      </c>
      <c r="M23" s="415">
        <v>7825</v>
      </c>
    </row>
    <row r="24" spans="1:14" s="400" customFormat="1" ht="17.100000000000001" customHeight="1">
      <c r="A24" s="410">
        <v>7</v>
      </c>
      <c r="B24" s="408" t="s">
        <v>259</v>
      </c>
      <c r="C24" s="408"/>
      <c r="D24" s="408"/>
      <c r="E24" s="408"/>
      <c r="F24" s="408">
        <v>85788</v>
      </c>
      <c r="G24" s="408">
        <v>96148</v>
      </c>
      <c r="H24" s="408">
        <v>102568</v>
      </c>
      <c r="I24" s="409">
        <v>101250</v>
      </c>
      <c r="J24" s="408">
        <v>12515</v>
      </c>
      <c r="K24" s="408">
        <v>11780</v>
      </c>
      <c r="L24" s="408">
        <v>11780</v>
      </c>
      <c r="M24" s="408">
        <v>11780</v>
      </c>
    </row>
    <row r="25" spans="1:14" s="400" customFormat="1" ht="17.100000000000001" customHeight="1">
      <c r="A25" s="414" t="s">
        <v>258</v>
      </c>
      <c r="B25" s="412" t="s">
        <v>257</v>
      </c>
      <c r="C25" s="415"/>
      <c r="D25" s="415"/>
      <c r="E25" s="415"/>
      <c r="F25" s="415">
        <v>185</v>
      </c>
      <c r="G25" s="415">
        <v>57</v>
      </c>
      <c r="H25" s="415">
        <v>40</v>
      </c>
      <c r="I25" s="416">
        <v>50</v>
      </c>
      <c r="J25" s="415">
        <v>40</v>
      </c>
      <c r="K25" s="415">
        <v>40</v>
      </c>
      <c r="L25" s="415">
        <v>40</v>
      </c>
      <c r="M25" s="415">
        <v>40</v>
      </c>
    </row>
    <row r="26" spans="1:14" s="400" customFormat="1" ht="17.100000000000001" customHeight="1">
      <c r="A26" s="414" t="s">
        <v>256</v>
      </c>
      <c r="B26" s="412" t="s">
        <v>255</v>
      </c>
      <c r="C26" s="415"/>
      <c r="D26" s="415"/>
      <c r="E26" s="415"/>
      <c r="F26" s="415">
        <v>0</v>
      </c>
      <c r="G26" s="415">
        <v>0</v>
      </c>
      <c r="H26" s="415">
        <v>0</v>
      </c>
      <c r="I26" s="416">
        <v>0</v>
      </c>
      <c r="J26" s="415">
        <v>0</v>
      </c>
      <c r="K26" s="415">
        <v>0</v>
      </c>
      <c r="L26" s="415">
        <v>0</v>
      </c>
      <c r="M26" s="415">
        <v>0</v>
      </c>
    </row>
    <row r="27" spans="1:14" s="400" customFormat="1" ht="17.100000000000001" customHeight="1">
      <c r="A27" s="410">
        <v>8</v>
      </c>
      <c r="B27" s="408" t="s">
        <v>254</v>
      </c>
      <c r="C27" s="408"/>
      <c r="D27" s="408"/>
      <c r="E27" s="408"/>
      <c r="F27" s="408">
        <v>18660</v>
      </c>
      <c r="G27" s="408">
        <v>24410</v>
      </c>
      <c r="H27" s="408">
        <v>24200</v>
      </c>
      <c r="I27" s="409">
        <v>26875</v>
      </c>
      <c r="J27" s="408">
        <v>23110</v>
      </c>
      <c r="K27" s="408">
        <v>23595</v>
      </c>
      <c r="L27" s="408">
        <v>23395</v>
      </c>
      <c r="M27" s="408">
        <v>22857</v>
      </c>
    </row>
    <row r="28" spans="1:14" s="400" customFormat="1" ht="17.100000000000001" customHeight="1">
      <c r="A28" s="414" t="s">
        <v>253</v>
      </c>
      <c r="B28" s="412" t="s">
        <v>252</v>
      </c>
      <c r="C28" s="415"/>
      <c r="D28" s="415"/>
      <c r="E28" s="415"/>
      <c r="F28" s="415">
        <v>4220</v>
      </c>
      <c r="G28" s="415">
        <v>3978</v>
      </c>
      <c r="H28" s="415">
        <v>3509</v>
      </c>
      <c r="I28" s="416">
        <v>3509</v>
      </c>
      <c r="J28" s="415">
        <v>3509</v>
      </c>
      <c r="K28" s="415">
        <v>3509</v>
      </c>
      <c r="L28" s="415">
        <v>3509</v>
      </c>
      <c r="M28" s="415">
        <v>3509</v>
      </c>
    </row>
    <row r="29" spans="1:14" s="400" customFormat="1" ht="17.100000000000001" customHeight="1">
      <c r="A29" s="414" t="s">
        <v>251</v>
      </c>
      <c r="B29" s="412" t="s">
        <v>250</v>
      </c>
      <c r="C29" s="415"/>
      <c r="D29" s="415"/>
      <c r="E29" s="415"/>
      <c r="F29" s="415">
        <v>5996</v>
      </c>
      <c r="G29" s="415">
        <v>10405</v>
      </c>
      <c r="H29" s="415">
        <v>10127</v>
      </c>
      <c r="I29" s="416">
        <v>8739</v>
      </c>
      <c r="J29" s="415">
        <v>9145</v>
      </c>
      <c r="K29" s="415">
        <v>8765</v>
      </c>
      <c r="L29" s="415">
        <v>8765</v>
      </c>
      <c r="M29" s="415">
        <v>8765</v>
      </c>
    </row>
    <row r="30" spans="1:14" s="400" customFormat="1" ht="17.100000000000001" customHeight="1">
      <c r="A30" s="414" t="s">
        <v>249</v>
      </c>
      <c r="B30" s="412" t="s">
        <v>248</v>
      </c>
      <c r="C30" s="412"/>
      <c r="D30" s="412"/>
      <c r="E30" s="412"/>
      <c r="F30" s="412">
        <v>0</v>
      </c>
      <c r="G30" s="412">
        <v>0</v>
      </c>
      <c r="H30" s="412">
        <v>0</v>
      </c>
      <c r="I30" s="413">
        <v>0</v>
      </c>
      <c r="J30" s="412">
        <v>0</v>
      </c>
      <c r="K30" s="412">
        <v>0</v>
      </c>
      <c r="L30" s="412">
        <v>0</v>
      </c>
      <c r="M30" s="412">
        <v>0</v>
      </c>
      <c r="N30" s="411"/>
    </row>
    <row r="31" spans="1:14" s="400" customFormat="1" ht="17.100000000000001" customHeight="1">
      <c r="A31" s="410">
        <v>9</v>
      </c>
      <c r="B31" s="408" t="s">
        <v>247</v>
      </c>
      <c r="C31" s="408"/>
      <c r="D31" s="408"/>
      <c r="E31" s="408"/>
      <c r="F31" s="408">
        <v>113435</v>
      </c>
      <c r="G31" s="408">
        <v>104249</v>
      </c>
      <c r="H31" s="408">
        <v>95149</v>
      </c>
      <c r="I31" s="409">
        <v>95149</v>
      </c>
      <c r="J31" s="408">
        <v>85214</v>
      </c>
      <c r="K31" s="408">
        <v>76692</v>
      </c>
      <c r="L31" s="408">
        <v>68170</v>
      </c>
      <c r="M31" s="408">
        <v>59648</v>
      </c>
    </row>
    <row r="32" spans="1:14" s="400" customFormat="1" ht="17.100000000000001" customHeight="1">
      <c r="A32" s="407">
        <v>10</v>
      </c>
      <c r="B32" s="406" t="s">
        <v>246</v>
      </c>
      <c r="C32" s="406"/>
      <c r="D32" s="406"/>
      <c r="E32" s="406"/>
      <c r="F32" s="406">
        <f t="shared" ref="F32:M32" si="3">F21+F22+F24+F27+F31</f>
        <v>445088</v>
      </c>
      <c r="G32" s="406">
        <f t="shared" si="3"/>
        <v>464760</v>
      </c>
      <c r="H32" s="406">
        <f t="shared" si="3"/>
        <v>455639</v>
      </c>
      <c r="I32" s="406">
        <f t="shared" si="3"/>
        <v>455486</v>
      </c>
      <c r="J32" s="406">
        <f t="shared" si="3"/>
        <v>349084</v>
      </c>
      <c r="K32" s="406">
        <f t="shared" si="3"/>
        <v>333208</v>
      </c>
      <c r="L32" s="406">
        <f t="shared" si="3"/>
        <v>321191</v>
      </c>
      <c r="M32" s="406">
        <f t="shared" si="3"/>
        <v>307202</v>
      </c>
    </row>
    <row r="33" spans="1:13" s="400" customFormat="1">
      <c r="A33" s="405"/>
    </row>
    <row r="34" spans="1:13" s="400" customFormat="1" ht="7.5" customHeight="1">
      <c r="A34" s="405"/>
    </row>
    <row r="35" spans="1:13" s="400" customFormat="1">
      <c r="A35" s="404">
        <v>11</v>
      </c>
      <c r="B35" s="403" t="s">
        <v>245</v>
      </c>
      <c r="C35" s="402"/>
      <c r="D35" s="402"/>
      <c r="E35" s="402"/>
      <c r="F35" s="401"/>
      <c r="G35" s="401"/>
      <c r="H35" s="401"/>
      <c r="I35" s="401"/>
      <c r="J35" s="401"/>
      <c r="K35" s="401"/>
      <c r="L35" s="401"/>
      <c r="M35" s="401"/>
    </row>
    <row r="36" spans="1:13">
      <c r="A36" s="399"/>
    </row>
    <row r="37" spans="1:13" ht="12.75" customHeight="1">
      <c r="B37" s="551" t="s">
        <v>244</v>
      </c>
      <c r="C37" s="551"/>
      <c r="D37" s="551"/>
      <c r="E37" s="551"/>
      <c r="F37" s="551"/>
      <c r="G37" s="551"/>
      <c r="H37" s="551"/>
      <c r="I37" s="551"/>
      <c r="J37" s="551"/>
      <c r="K37" s="551"/>
      <c r="L37" s="551"/>
      <c r="M37" s="551"/>
    </row>
    <row r="38" spans="1:13">
      <c r="B38" s="551"/>
      <c r="C38" s="551"/>
      <c r="D38" s="551"/>
      <c r="E38" s="551"/>
      <c r="F38" s="551"/>
      <c r="G38" s="551"/>
      <c r="H38" s="551"/>
      <c r="I38" s="551"/>
      <c r="J38" s="551"/>
      <c r="K38" s="551"/>
      <c r="L38" s="551"/>
      <c r="M38" s="551"/>
    </row>
    <row r="39" spans="1:13" ht="0.75" customHeight="1">
      <c r="B39" s="551"/>
      <c r="C39" s="551"/>
      <c r="D39" s="551"/>
      <c r="E39" s="551"/>
      <c r="F39" s="551"/>
      <c r="G39" s="551"/>
      <c r="H39" s="551"/>
      <c r="I39" s="551"/>
      <c r="J39" s="551"/>
      <c r="K39" s="551"/>
      <c r="L39" s="551"/>
      <c r="M39" s="551"/>
    </row>
    <row r="40" spans="1:13">
      <c r="B40" s="398"/>
      <c r="C40" s="398"/>
      <c r="D40" s="398"/>
      <c r="E40" s="398"/>
      <c r="F40" s="398"/>
      <c r="G40" s="398"/>
      <c r="H40" s="398"/>
      <c r="I40" s="398"/>
      <c r="J40" s="398"/>
      <c r="K40" s="398"/>
      <c r="L40" s="398"/>
      <c r="M40" s="398"/>
    </row>
  </sheetData>
  <mergeCells count="7">
    <mergeCell ref="B37:M39"/>
    <mergeCell ref="A1:M1"/>
    <mergeCell ref="A2:C2"/>
    <mergeCell ref="D2:M2"/>
    <mergeCell ref="J3:K3"/>
    <mergeCell ref="L3:M3"/>
    <mergeCell ref="A5:A6"/>
  </mergeCells>
  <pageMargins left="0.78740157480314965" right="0.78740157480314965" top="0.98425196850393704" bottom="0.98425196850393704" header="0.51181102362204722" footer="0.51181102362204722"/>
  <pageSetup paperSize="9" scale="77" orientation="landscape" r:id="rId1"/>
  <headerFooter alignWithMargins="0">
    <oddHeader>&amp;L&amp;"Arial,Fett"&amp;12Wirtschaftsplan
für Eigenbetriebe, Anstalten und Stiftungen öff. Rechts&amp;RAlle Angaben in T€, sofern nicht anders angegeben</oddHead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Layout" zoomScale="60" zoomScaleNormal="100" zoomScalePageLayoutView="60" workbookViewId="0">
      <selection activeCell="F13" sqref="F13"/>
    </sheetView>
  </sheetViews>
  <sheetFormatPr baseColWidth="10" defaultRowHeight="15"/>
  <cols>
    <col min="1" max="1" width="6.28515625" customWidth="1"/>
    <col min="2" max="2" width="30.28515625" customWidth="1"/>
    <col min="3" max="13" width="12.7109375" customWidth="1"/>
    <col min="14" max="14" width="6.5703125" customWidth="1"/>
    <col min="15" max="15" width="5.5703125" bestFit="1" customWidth="1"/>
  </cols>
  <sheetData>
    <row r="1" spans="1:14" ht="15" customHeight="1">
      <c r="A1" s="470" t="s">
        <v>0</v>
      </c>
      <c r="B1" s="470"/>
      <c r="C1" s="470"/>
      <c r="D1" s="470"/>
      <c r="E1" s="471"/>
      <c r="F1" s="8"/>
      <c r="G1" s="8"/>
      <c r="H1" s="8"/>
      <c r="I1" s="8"/>
      <c r="J1" s="474" t="s">
        <v>1</v>
      </c>
      <c r="K1" s="475"/>
      <c r="L1" s="475"/>
      <c r="M1" s="475"/>
      <c r="N1" s="9"/>
    </row>
    <row r="2" spans="1:14">
      <c r="A2" s="470"/>
      <c r="B2" s="470"/>
      <c r="C2" s="470"/>
      <c r="D2" s="470"/>
      <c r="E2" s="471"/>
      <c r="F2" s="8"/>
      <c r="G2" s="8"/>
      <c r="H2" s="8"/>
      <c r="I2" s="8"/>
      <c r="J2" s="475"/>
      <c r="K2" s="475"/>
      <c r="L2" s="475"/>
      <c r="M2" s="475"/>
      <c r="N2" s="9"/>
    </row>
    <row r="3" spans="1:14">
      <c r="A3" s="472"/>
      <c r="B3" s="472"/>
      <c r="C3" s="472"/>
      <c r="D3" s="472"/>
      <c r="E3" s="473"/>
      <c r="F3" s="23"/>
      <c r="G3" s="23"/>
      <c r="H3" s="23"/>
      <c r="I3" s="23"/>
      <c r="J3" s="476"/>
      <c r="K3" s="476"/>
      <c r="L3" s="476"/>
      <c r="M3" s="476"/>
      <c r="N3" s="9"/>
    </row>
    <row r="4" spans="1:14" ht="17.100000000000001" customHeight="1">
      <c r="A4" s="477" t="s">
        <v>2</v>
      </c>
      <c r="B4" s="478"/>
      <c r="C4" s="478"/>
      <c r="D4" s="478"/>
      <c r="E4" s="478"/>
      <c r="F4" s="478"/>
      <c r="G4" s="478"/>
      <c r="H4" s="478"/>
      <c r="I4" s="478"/>
      <c r="J4" s="478"/>
      <c r="K4" s="478"/>
      <c r="L4" s="478"/>
      <c r="M4" s="479"/>
    </row>
    <row r="5" spans="1:14" ht="17.100000000000001" customHeight="1">
      <c r="A5" s="480" t="s">
        <v>3</v>
      </c>
      <c r="B5" s="481"/>
      <c r="C5" s="482" t="s">
        <v>4</v>
      </c>
      <c r="D5" s="482"/>
      <c r="E5" s="482"/>
      <c r="F5" s="482"/>
      <c r="G5" s="482"/>
      <c r="H5" s="482"/>
      <c r="I5" s="482"/>
      <c r="J5" s="483"/>
      <c r="K5" s="483"/>
      <c r="L5" s="483"/>
      <c r="M5" s="484"/>
    </row>
    <row r="6" spans="1:14" ht="17.100000000000001" customHeight="1">
      <c r="A6" s="480" t="s">
        <v>5</v>
      </c>
      <c r="B6" s="481"/>
      <c r="C6" s="24"/>
      <c r="D6" s="24"/>
      <c r="E6" s="25"/>
      <c r="F6" s="24"/>
      <c r="G6" s="485" t="s">
        <v>6</v>
      </c>
      <c r="H6" s="486"/>
      <c r="I6" s="486"/>
      <c r="J6" s="486"/>
      <c r="K6" s="486"/>
      <c r="L6" s="486"/>
      <c r="M6" s="487"/>
    </row>
    <row r="7" spans="1:14" ht="17.100000000000001" customHeight="1">
      <c r="A7" s="488"/>
      <c r="B7" s="489"/>
      <c r="C7" s="490" t="s">
        <v>7</v>
      </c>
      <c r="D7" s="491"/>
      <c r="E7" s="491"/>
      <c r="F7" s="492"/>
      <c r="G7" s="493" t="s">
        <v>8</v>
      </c>
      <c r="H7" s="494"/>
      <c r="I7" s="495"/>
      <c r="J7" s="495"/>
      <c r="K7" s="496"/>
      <c r="L7" s="493" t="s">
        <v>9</v>
      </c>
      <c r="M7" s="497"/>
    </row>
    <row r="8" spans="1:14">
      <c r="A8" s="498" t="s">
        <v>10</v>
      </c>
      <c r="B8" s="499"/>
      <c r="C8" s="26" t="s">
        <v>11</v>
      </c>
      <c r="D8" s="26" t="s">
        <v>11</v>
      </c>
      <c r="E8" s="26" t="s">
        <v>12</v>
      </c>
      <c r="F8" s="26" t="s">
        <v>13</v>
      </c>
      <c r="G8" s="27" t="s">
        <v>14</v>
      </c>
      <c r="H8" s="27" t="s">
        <v>15</v>
      </c>
      <c r="I8" s="27" t="s">
        <v>16</v>
      </c>
      <c r="J8" s="27" t="s">
        <v>17</v>
      </c>
      <c r="K8" s="26" t="s">
        <v>18</v>
      </c>
      <c r="L8" s="28" t="s">
        <v>18</v>
      </c>
      <c r="M8" s="29" t="s">
        <v>18</v>
      </c>
    </row>
    <row r="9" spans="1:14">
      <c r="A9" s="30"/>
      <c r="B9" s="10"/>
      <c r="C9" s="31">
        <v>2015</v>
      </c>
      <c r="D9" s="31">
        <v>2016</v>
      </c>
      <c r="E9" s="31">
        <v>2017</v>
      </c>
      <c r="F9" s="31">
        <v>2017</v>
      </c>
      <c r="G9" s="32">
        <v>2018</v>
      </c>
      <c r="H9" s="32">
        <v>2018</v>
      </c>
      <c r="I9" s="32">
        <v>2018</v>
      </c>
      <c r="J9" s="32">
        <v>2018</v>
      </c>
      <c r="K9" s="33">
        <v>2019</v>
      </c>
      <c r="L9" s="11">
        <v>2020</v>
      </c>
      <c r="M9" s="33">
        <v>2021</v>
      </c>
    </row>
    <row r="10" spans="1:14" ht="13.5" customHeight="1">
      <c r="A10" s="34" t="s">
        <v>19</v>
      </c>
      <c r="B10" s="467" t="s">
        <v>20</v>
      </c>
      <c r="C10" s="468"/>
      <c r="D10" s="468"/>
      <c r="E10" s="468"/>
      <c r="F10" s="468"/>
      <c r="G10" s="468"/>
      <c r="H10" s="468"/>
      <c r="I10" s="468"/>
      <c r="J10" s="468"/>
      <c r="K10" s="468"/>
      <c r="L10" s="468"/>
      <c r="M10" s="469"/>
    </row>
    <row r="11" spans="1:14" ht="19.5" customHeight="1">
      <c r="A11" s="35">
        <v>1</v>
      </c>
      <c r="B11" s="36" t="s">
        <v>21</v>
      </c>
      <c r="C11" s="36">
        <f t="shared" ref="C11:M11" si="0">SUM(C12:C19)</f>
        <v>135573.56</v>
      </c>
      <c r="D11" s="36">
        <f t="shared" si="0"/>
        <v>138966.69099999999</v>
      </c>
      <c r="E11" s="36">
        <f t="shared" si="0"/>
        <v>144199.71299999999</v>
      </c>
      <c r="F11" s="36">
        <f t="shared" si="0"/>
        <v>140043.196</v>
      </c>
      <c r="G11" s="244">
        <f t="shared" si="0"/>
        <v>35790.8995</v>
      </c>
      <c r="H11" s="244">
        <f t="shared" si="0"/>
        <v>71581.798999999999</v>
      </c>
      <c r="I11" s="244">
        <f t="shared" si="0"/>
        <v>107372.6985</v>
      </c>
      <c r="J11" s="36">
        <f t="shared" si="0"/>
        <v>143161.698</v>
      </c>
      <c r="K11" s="36">
        <f t="shared" si="0"/>
        <v>142838.68599999999</v>
      </c>
      <c r="L11" s="36">
        <f t="shared" si="0"/>
        <v>141641.897</v>
      </c>
      <c r="M11" s="38">
        <f t="shared" si="0"/>
        <v>141618.397</v>
      </c>
    </row>
    <row r="12" spans="1:14" s="12" customFormat="1" ht="17.100000000000001" customHeight="1">
      <c r="A12" s="39" t="s">
        <v>22</v>
      </c>
      <c r="B12" s="40" t="s">
        <v>23</v>
      </c>
      <c r="C12" s="41">
        <f>'Sparte Grün'!C12+'Friedhöfe+Krema'!C12+St.Reinigung!C12</f>
        <v>16187.190999999999</v>
      </c>
      <c r="D12" s="41">
        <f>'Sparte Grün'!D12+'Friedhöfe+Krema'!D12+St.Reinigung!D12</f>
        <v>18372.276000000002</v>
      </c>
      <c r="E12" s="41">
        <f>'Sparte Grün'!E12+'Friedhöfe+Krema'!E12+St.Reinigung!E12</f>
        <v>21075.48</v>
      </c>
      <c r="F12" s="41">
        <f>'Sparte Grün'!F12+'Friedhöfe+Krema'!F12+St.Reinigung!F12</f>
        <v>19894.126999999997</v>
      </c>
      <c r="G12" s="41">
        <f>'Sparte Grün'!G12+'Friedhöfe+Krema'!G12+St.Reinigung!G12</f>
        <v>4938.4750000000004</v>
      </c>
      <c r="H12" s="41">
        <f>'Sparte Grün'!H12+'Friedhöfe+Krema'!H12+St.Reinigung!H12</f>
        <v>9876.9500000000007</v>
      </c>
      <c r="I12" s="41">
        <f>'Sparte Grün'!I12+'Friedhöfe+Krema'!I12+St.Reinigung!I12</f>
        <v>14815.424999999999</v>
      </c>
      <c r="J12" s="41">
        <f>'Sparte Grün'!J12+'Friedhöfe+Krema'!J12+St.Reinigung!J12</f>
        <v>19752</v>
      </c>
      <c r="K12" s="41">
        <f>'Sparte Grün'!K12+'Friedhöfe+Krema'!K12+St.Reinigung!K12</f>
        <v>19927.777999999998</v>
      </c>
      <c r="L12" s="41">
        <f>'Sparte Grün'!L12+'Friedhöfe+Krema'!L12+St.Reinigung!L12</f>
        <v>20138.594000000001</v>
      </c>
      <c r="M12" s="42">
        <f>'Sparte Grün'!M12+'Friedhöfe+Krema'!M12+St.Reinigung!M12</f>
        <v>20350.385999999999</v>
      </c>
    </row>
    <row r="13" spans="1:14" s="12" customFormat="1" ht="17.100000000000001" customHeight="1">
      <c r="A13" s="43" t="s">
        <v>24</v>
      </c>
      <c r="B13" s="40" t="s">
        <v>25</v>
      </c>
      <c r="C13" s="41">
        <f>'Sparte Grün'!C13</f>
        <v>2681.1529999999998</v>
      </c>
      <c r="D13" s="41">
        <f>'Sparte Grün'!D13</f>
        <v>2651.3670000000002</v>
      </c>
      <c r="E13" s="41">
        <f>'Sparte Grün'!E13</f>
        <v>2711.0360000000001</v>
      </c>
      <c r="F13" s="41">
        <f>'Sparte Grün'!F13</f>
        <v>2681.152</v>
      </c>
      <c r="G13" s="41">
        <f>'Sparte Grün'!G13</f>
        <v>677.75</v>
      </c>
      <c r="H13" s="41">
        <f>'Sparte Grün'!H13</f>
        <v>1355.5</v>
      </c>
      <c r="I13" s="41">
        <f>'Sparte Grün'!I13</f>
        <v>2033.25</v>
      </c>
      <c r="J13" s="41">
        <f>'Sparte Grün'!J13</f>
        <v>2711</v>
      </c>
      <c r="K13" s="41">
        <f>'Sparte Grün'!K13</f>
        <v>2711</v>
      </c>
      <c r="L13" s="41">
        <f>'Sparte Grün'!L13</f>
        <v>2711</v>
      </c>
      <c r="M13" s="42">
        <f>'Sparte Grün'!M13</f>
        <v>2711</v>
      </c>
    </row>
    <row r="14" spans="1:14" s="12" customFormat="1" ht="17.100000000000001" customHeight="1">
      <c r="A14" s="43" t="s">
        <v>26</v>
      </c>
      <c r="B14" s="40" t="s">
        <v>27</v>
      </c>
      <c r="C14" s="41">
        <f>'Friedhöfe+Krema'!C13+St.Entwässerung!C12</f>
        <v>88460.104999999996</v>
      </c>
      <c r="D14" s="41">
        <f>'Friedhöfe+Krema'!D13+St.Entwässerung!D12</f>
        <v>90519.447</v>
      </c>
      <c r="E14" s="41">
        <f>'Friedhöfe+Krema'!E13+St.Entwässerung!E12</f>
        <v>93186.956000000006</v>
      </c>
      <c r="F14" s="41">
        <f>'Friedhöfe+Krema'!F13+St.Entwässerung!F12</f>
        <v>91030.994999999995</v>
      </c>
      <c r="G14" s="41">
        <f>'Friedhöfe+Krema'!G13+St.Entwässerung!G12</f>
        <v>23124.25</v>
      </c>
      <c r="H14" s="41">
        <f>'Friedhöfe+Krema'!H13+St.Entwässerung!H12</f>
        <v>46248.5</v>
      </c>
      <c r="I14" s="41">
        <f>'Friedhöfe+Krema'!I13+St.Entwässerung!I12</f>
        <v>69372.75</v>
      </c>
      <c r="J14" s="41">
        <f>'Friedhöfe+Krema'!J13+St.Entwässerung!J12</f>
        <v>92497</v>
      </c>
      <c r="K14" s="41">
        <f>'Friedhöfe+Krema'!K13+St.Entwässerung!K12</f>
        <v>92071</v>
      </c>
      <c r="L14" s="41">
        <f>'Friedhöfe+Krema'!L13+St.Entwässerung!L12</f>
        <v>91645</v>
      </c>
      <c r="M14" s="42">
        <f>'Friedhöfe+Krema'!M13+St.Entwässerung!M12</f>
        <v>91215</v>
      </c>
    </row>
    <row r="15" spans="1:14" s="12" customFormat="1" ht="17.100000000000001" customHeight="1">
      <c r="A15" s="43" t="s">
        <v>28</v>
      </c>
      <c r="B15" s="40" t="s">
        <v>29</v>
      </c>
      <c r="C15" s="41">
        <f>Deponie!C12+St.Entwässerung!C13</f>
        <v>12529.798999999999</v>
      </c>
      <c r="D15" s="41">
        <f>Deponie!D12+St.Entwässerung!D13</f>
        <v>11369.441999999999</v>
      </c>
      <c r="E15" s="41">
        <f>Deponie!E12+St.Entwässerung!E13</f>
        <v>11304.391</v>
      </c>
      <c r="F15" s="41">
        <f>Deponie!F12+St.Entwässerung!F13</f>
        <v>10969.8</v>
      </c>
      <c r="G15" s="41">
        <f>Deponie!G12+St.Entwässerung!G13</f>
        <v>2903.25</v>
      </c>
      <c r="H15" s="41">
        <f>Deponie!H12+St.Entwässerung!H13</f>
        <v>5806.5</v>
      </c>
      <c r="I15" s="41">
        <f>Deponie!I12+St.Entwässerung!I13</f>
        <v>8709.75</v>
      </c>
      <c r="J15" s="41">
        <f>Deponie!J12+St.Entwässerung!J13</f>
        <v>11613</v>
      </c>
      <c r="K15" s="41">
        <f>Deponie!K12+St.Entwässerung!K13</f>
        <v>11613</v>
      </c>
      <c r="L15" s="41">
        <f>Deponie!L12+St.Entwässerung!L13</f>
        <v>10788</v>
      </c>
      <c r="M15" s="42">
        <f>Deponie!M12+St.Entwässerung!M13</f>
        <v>10888</v>
      </c>
    </row>
    <row r="16" spans="1:14" s="12" customFormat="1" ht="17.100000000000001" customHeight="1">
      <c r="A16" s="43" t="s">
        <v>30</v>
      </c>
      <c r="B16" s="40" t="s">
        <v>31</v>
      </c>
      <c r="C16" s="41">
        <f>Kundenmanagem!C11+Deponie!C13+Zentr.Dienste!C12</f>
        <v>5836.933</v>
      </c>
      <c r="D16" s="41">
        <f>Kundenmanagem!D11+Deponie!D13+Zentr.Dienste!D12</f>
        <v>5611.6050000000005</v>
      </c>
      <c r="E16" s="41">
        <f>Kundenmanagem!E11+Deponie!E13+Zentr.Dienste!E12</f>
        <v>6083.7619999999997</v>
      </c>
      <c r="F16" s="41">
        <f>Kundenmanagem!F11+Deponie!F13+Zentr.Dienste!F12</f>
        <v>6184.7420000000002</v>
      </c>
      <c r="G16" s="41">
        <f>Kundenmanagem!G11+Deponie!G13+Zentr.Dienste!G12</f>
        <v>1562.0495000000001</v>
      </c>
      <c r="H16" s="41">
        <f>Kundenmanagem!H11+Deponie!H13+Zentr.Dienste!H12</f>
        <v>3124.0990000000002</v>
      </c>
      <c r="I16" s="41">
        <f>Kundenmanagem!I11+Deponie!I13+Zentr.Dienste!I12</f>
        <v>4686.1485000000002</v>
      </c>
      <c r="J16" s="41">
        <f>Kundenmanagem!J11+Deponie!J13+Zentr.Dienste!J12</f>
        <v>6248.1980000000003</v>
      </c>
      <c r="K16" s="41">
        <f>Kundenmanagem!K11+Deponie!K13+Zentr.Dienste!K12</f>
        <v>6374.4079999999994</v>
      </c>
      <c r="L16" s="41">
        <f>Kundenmanagem!L11+Deponie!L13+Zentr.Dienste!L12</f>
        <v>6316.8029999999999</v>
      </c>
      <c r="M16" s="42">
        <f>Kundenmanagem!M11+Deponie!M13+Zentr.Dienste!M12</f>
        <v>6450.5109999999995</v>
      </c>
    </row>
    <row r="17" spans="1:16" s="12" customFormat="1" ht="17.100000000000001" customHeight="1">
      <c r="A17" s="43" t="s">
        <v>32</v>
      </c>
      <c r="B17" s="40" t="s">
        <v>33</v>
      </c>
      <c r="C17" s="41">
        <f>'Sparte Grün'!C14+'Friedhöfe+Krema'!C14+St.Reinigung!C13+Deponie!C14</f>
        <v>1848.0700000000002</v>
      </c>
      <c r="D17" s="41">
        <f>'Sparte Grün'!D14+'Friedhöfe+Krema'!D14+St.Reinigung!D13+Deponie!D14</f>
        <v>1768.3489999999999</v>
      </c>
      <c r="E17" s="41">
        <f>'Sparte Grün'!E14+'Friedhöfe+Krema'!E14+St.Reinigung!E13+Deponie!E14</f>
        <v>1687.4379999999999</v>
      </c>
      <c r="F17" s="41">
        <f>'Sparte Grün'!F14+'Friedhöfe+Krema'!F14+St.Reinigung!F13+Deponie!F14</f>
        <v>1800.807</v>
      </c>
      <c r="G17" s="41">
        <f>'Sparte Grün'!G14+'Friedhöfe+Krema'!G14+St.Reinigung!G13+Deponie!G14</f>
        <v>437.375</v>
      </c>
      <c r="H17" s="41">
        <f>'Sparte Grün'!H14+'Friedhöfe+Krema'!H14+St.Reinigung!H13+Deponie!H14</f>
        <v>874.75</v>
      </c>
      <c r="I17" s="41">
        <f>'Sparte Grün'!I14+'Friedhöfe+Krema'!I14+St.Reinigung!I13+Deponie!I14</f>
        <v>1312.125</v>
      </c>
      <c r="J17" s="41">
        <f>'Sparte Grün'!J14+'Friedhöfe+Krema'!J14+St.Reinigung!J13+Deponie!J14</f>
        <v>1749.5</v>
      </c>
      <c r="K17" s="41">
        <f>'Sparte Grün'!K14+'Friedhöfe+Krema'!K14+St.Reinigung!K13+Deponie!K14</f>
        <v>1749.5</v>
      </c>
      <c r="L17" s="41">
        <f>'Sparte Grün'!L14+'Friedhöfe+Krema'!L14+St.Reinigung!L13+Deponie!L14</f>
        <v>1749.5</v>
      </c>
      <c r="M17" s="42">
        <f>'Sparte Grün'!M14+'Friedhöfe+Krema'!M14+St.Reinigung!M13+Deponie!M14</f>
        <v>1749.5</v>
      </c>
    </row>
    <row r="18" spans="1:16" s="12" customFormat="1" ht="17.100000000000001" customHeight="1">
      <c r="A18" s="43" t="s">
        <v>34</v>
      </c>
      <c r="B18" s="40" t="s">
        <v>35</v>
      </c>
      <c r="C18" s="41">
        <f>'Sparte Grün'!C15</f>
        <v>739.66200000000003</v>
      </c>
      <c r="D18" s="41">
        <f>'Sparte Grün'!D15</f>
        <v>619.45499999999993</v>
      </c>
      <c r="E18" s="41">
        <f>'Sparte Grün'!E15</f>
        <v>765</v>
      </c>
      <c r="F18" s="41">
        <f>'Sparte Grün'!F15</f>
        <v>356</v>
      </c>
      <c r="G18" s="41">
        <f>'Sparte Grün'!G15</f>
        <v>198.75</v>
      </c>
      <c r="H18" s="41">
        <f>'Sparte Grün'!H15</f>
        <v>397.5</v>
      </c>
      <c r="I18" s="41">
        <f>'Sparte Grün'!I15</f>
        <v>596.25</v>
      </c>
      <c r="J18" s="41">
        <f>'Sparte Grün'!J15</f>
        <v>795</v>
      </c>
      <c r="K18" s="41">
        <f>'Sparte Grün'!K15</f>
        <v>745</v>
      </c>
      <c r="L18" s="41">
        <f>'Sparte Grün'!L15</f>
        <v>695</v>
      </c>
      <c r="M18" s="42">
        <f>'Sparte Grün'!M15</f>
        <v>695</v>
      </c>
    </row>
    <row r="19" spans="1:16" s="12" customFormat="1" ht="17.100000000000001" customHeight="1">
      <c r="A19" s="43" t="s">
        <v>36</v>
      </c>
      <c r="B19" s="40" t="s">
        <v>37</v>
      </c>
      <c r="C19" s="41">
        <f>'Sparte Grün'!C16+'Friedhöfe+Krema'!C15+St.Reinigung!C16+Deponie!C15+St.Entwässerung!C14+Zentr.Dienste!C13</f>
        <v>7290.6470000000008</v>
      </c>
      <c r="D19" s="41">
        <v>8054.75</v>
      </c>
      <c r="E19" s="41">
        <v>7385.65</v>
      </c>
      <c r="F19" s="41">
        <v>7125.5730000000003</v>
      </c>
      <c r="G19" s="41">
        <v>1949</v>
      </c>
      <c r="H19" s="41">
        <v>3898</v>
      </c>
      <c r="I19" s="41">
        <v>5847</v>
      </c>
      <c r="J19" s="41">
        <v>7796</v>
      </c>
      <c r="K19" s="41">
        <v>7647</v>
      </c>
      <c r="L19" s="41">
        <v>7598</v>
      </c>
      <c r="M19" s="42">
        <v>7559</v>
      </c>
    </row>
    <row r="20" spans="1:16" ht="17.100000000000001" customHeight="1">
      <c r="A20" s="35">
        <v>2</v>
      </c>
      <c r="B20" s="44" t="s">
        <v>38</v>
      </c>
      <c r="C20" s="45">
        <f>'Sparte Grün'!C17+'Friedhöfe+Krema'!C16+St.Reinigung!C17+Kundenmanagem!C12+Deponie!C16+St.Entwässerung!C15+Zentr.Dienste!C14+Standortkonzept!C12</f>
        <v>2063.0810000000001</v>
      </c>
      <c r="D20" s="45">
        <f>'Sparte Grün'!D17+'Friedhöfe+Krema'!D16+St.Reinigung!D17+Kundenmanagem!D12+Deponie!D16+St.Entwässerung!D15+Zentr.Dienste!D14+Standortkonzept!D12</f>
        <v>1113.0809999999999</v>
      </c>
      <c r="E20" s="45">
        <f>'Sparte Grün'!E17+'Friedhöfe+Krema'!E16+St.Reinigung!E17+Kundenmanagem!E12+Deponie!E16+St.Entwässerung!E15+Zentr.Dienste!E14+Standortkonzept!E12</f>
        <v>1114</v>
      </c>
      <c r="F20" s="45">
        <f>'Sparte Grün'!F17+'Friedhöfe+Krema'!F16+St.Reinigung!F17+Kundenmanagem!F12+Deponie!F16+St.Entwässerung!F15+Zentr.Dienste!F14+Standortkonzept!F12</f>
        <v>1114</v>
      </c>
      <c r="G20" s="245">
        <f>'Sparte Grün'!G17+'Friedhöfe+Krema'!G16+St.Reinigung!G17+Kundenmanagem!G12+Deponie!G16+St.Entwässerung!G15+Zentr.Dienste!G14+Standortkonzept!G12</f>
        <v>278.25</v>
      </c>
      <c r="H20" s="245">
        <f>'Sparte Grün'!H17+'Friedhöfe+Krema'!H16+St.Reinigung!H17+Kundenmanagem!H12+Deponie!H16+St.Entwässerung!H15+Zentr.Dienste!H14+Standortkonzept!H12</f>
        <v>556.5</v>
      </c>
      <c r="I20" s="245">
        <f>'Sparte Grün'!I17+'Friedhöfe+Krema'!I16+St.Reinigung!I17+Kundenmanagem!I12+Deponie!I16+St.Entwässerung!I15+Zentr.Dienste!I14+Standortkonzept!I12</f>
        <v>834.75</v>
      </c>
      <c r="J20" s="45">
        <f>'Sparte Grün'!J17+'Friedhöfe+Krema'!J16+St.Reinigung!J17+Kundenmanagem!J12+Deponie!J16+St.Entwässerung!J15+Zentr.Dienste!J14+Standortkonzept!J12</f>
        <v>1113</v>
      </c>
      <c r="K20" s="45">
        <f>'Sparte Grün'!K17+'Friedhöfe+Krema'!K16+St.Reinigung!K17+Kundenmanagem!K12+Deponie!K16+St.Entwässerung!K15+Zentr.Dienste!K14+Standortkonzept!K12</f>
        <v>1113</v>
      </c>
      <c r="L20" s="45">
        <f>'Sparte Grün'!L17+'Friedhöfe+Krema'!L16+St.Reinigung!L17+Kundenmanagem!L12+Deponie!L16+St.Entwässerung!L15+Zentr.Dienste!L14+Standortkonzept!L12</f>
        <v>1113</v>
      </c>
      <c r="M20" s="44">
        <f>'Sparte Grün'!M17+'Friedhöfe+Krema'!M16+St.Reinigung!M17+Kundenmanagem!M12+Deponie!M16+St.Entwässerung!M15+Zentr.Dienste!M14+Standortkonzept!M12</f>
        <v>1113</v>
      </c>
    </row>
    <row r="21" spans="1:16" ht="17.100000000000001" customHeight="1">
      <c r="A21" s="35">
        <v>3</v>
      </c>
      <c r="B21" s="44" t="s">
        <v>39</v>
      </c>
      <c r="C21" s="45">
        <f>'Sparte Grün'!C18+'Friedhöfe+Krema'!C17+St.Reinigung!C18+Kundenmanagem!C13+Deponie!C17+St.Entwässerung!C16+Zentr.Dienste!C15+Standortkonzept!C13</f>
        <v>1.0999999999999999E-2</v>
      </c>
      <c r="D21" s="45">
        <f>'Sparte Grün'!D18+'Friedhöfe+Krema'!D17+St.Reinigung!D18+Kundenmanagem!D13+Deponie!D17+St.Entwässerung!D16+Zentr.Dienste!D15+Standortkonzept!D13</f>
        <v>-5.8490000000000002</v>
      </c>
      <c r="E21" s="391">
        <f>'Sparte Grün'!E18+'Friedhöfe+Krema'!E17+St.Reinigung!E18+Kundenmanagem!E13+Deponie!E17+St.Entwässerung!E16+Zentr.Dienste!E15+Standortkonzept!E13</f>
        <v>0</v>
      </c>
      <c r="F21" s="391">
        <f>'Sparte Grün'!F18+'Friedhöfe+Krema'!F17+St.Reinigung!F18+Kundenmanagem!F13+Deponie!F17+St.Entwässerung!F16+Zentr.Dienste!F15+Standortkonzept!F13</f>
        <v>0</v>
      </c>
      <c r="G21" s="391">
        <f>'Sparte Grün'!G18+'Friedhöfe+Krema'!G17+St.Reinigung!G18+Kundenmanagem!G13+Deponie!G17+St.Entwässerung!G16+Zentr.Dienste!G15+Standortkonzept!G13</f>
        <v>0</v>
      </c>
      <c r="H21" s="391">
        <f>'Sparte Grün'!H18+'Friedhöfe+Krema'!H17+St.Reinigung!H18+Kundenmanagem!H13+Deponie!H17+St.Entwässerung!H16+Zentr.Dienste!H15+Standortkonzept!H13</f>
        <v>0</v>
      </c>
      <c r="I21" s="391">
        <f>'Sparte Grün'!I18+'Friedhöfe+Krema'!I17+St.Reinigung!I18+Kundenmanagem!I13+Deponie!I17+St.Entwässerung!I16+Zentr.Dienste!I15+Standortkonzept!I13</f>
        <v>0</v>
      </c>
      <c r="J21" s="391">
        <f>'Sparte Grün'!J18+'Friedhöfe+Krema'!J17+St.Reinigung!J18+Kundenmanagem!J13+Deponie!J17+St.Entwässerung!J16+Zentr.Dienste!J15+Standortkonzept!J13</f>
        <v>0</v>
      </c>
      <c r="K21" s="391">
        <f>'Sparte Grün'!K18+'Friedhöfe+Krema'!K17+St.Reinigung!K18+Kundenmanagem!K13+Deponie!K17+St.Entwässerung!K16+Zentr.Dienste!K15+Standortkonzept!K13</f>
        <v>0</v>
      </c>
      <c r="L21" s="391">
        <f>'Sparte Grün'!L18+'Friedhöfe+Krema'!L17+St.Reinigung!L18+Kundenmanagem!L13+Deponie!L17+St.Entwässerung!L16+Zentr.Dienste!L15+Standortkonzept!L13</f>
        <v>0</v>
      </c>
      <c r="M21" s="391">
        <f>'Sparte Grün'!M18+'Friedhöfe+Krema'!M17+St.Reinigung!M18+Kundenmanagem!M13+Deponie!M17+St.Entwässerung!M16+Zentr.Dienste!M15+Standortkonzept!M13</f>
        <v>0</v>
      </c>
      <c r="N21" s="13"/>
      <c r="O21" s="13"/>
      <c r="P21" s="13"/>
    </row>
    <row r="22" spans="1:16" ht="17.100000000000001" customHeight="1">
      <c r="A22" s="35">
        <v>4</v>
      </c>
      <c r="B22" s="45" t="s">
        <v>40</v>
      </c>
      <c r="C22" s="45">
        <f>'Sparte Grün'!C19+'Friedhöfe+Krema'!C18+St.Reinigung!C19+Kundenmanagem!C14+Deponie!C18+St.Entwässerung!C17+Zentr.Dienste!C16+Standortkonzept!C14</f>
        <v>14309.36456</v>
      </c>
      <c r="D22" s="45">
        <f>'Sparte Grün'!D19+'Friedhöfe+Krema'!D18+St.Reinigung!D19+Kundenmanagem!D14+Deponie!D18+St.Entwässerung!D17+Zentr.Dienste!D16+Standortkonzept!D14</f>
        <v>33625.995999999999</v>
      </c>
      <c r="E22" s="45">
        <f>'Sparte Grün'!E19+'Friedhöfe+Krema'!E18+St.Reinigung!E19+Kundenmanagem!E14+Deponie!E18+St.Entwässerung!E17+Zentr.Dienste!E16+Standortkonzept!E14</f>
        <v>24082.386999999999</v>
      </c>
      <c r="F22" s="45">
        <f>'Sparte Grün'!F19+'Friedhöfe+Krema'!F18+St.Reinigung!F19+Kundenmanagem!F14+Deponie!F18+St.Entwässerung!F17+Zentr.Dienste!F16+Standortkonzept!F14</f>
        <v>11072.696000000002</v>
      </c>
      <c r="G22" s="245">
        <f>'Sparte Grün'!G19+'Friedhöfe+Krema'!G18+St.Reinigung!G19+Kundenmanagem!G14+Deponie!G18+St.Entwässerung!G17+Zentr.Dienste!G16+Standortkonzept!G14</f>
        <v>5357.3095000000003</v>
      </c>
      <c r="H22" s="245">
        <f>'Sparte Grün'!H19+'Friedhöfe+Krema'!H18+St.Reinigung!H19+Kundenmanagem!H14+Deponie!H18+St.Entwässerung!H17+Zentr.Dienste!H16+Standortkonzept!H14</f>
        <v>10714.619000000001</v>
      </c>
      <c r="I22" s="245">
        <f>'Sparte Grün'!I19+'Friedhöfe+Krema'!I18+St.Reinigung!I19+Kundenmanagem!I14+Deponie!I18+St.Entwässerung!I17+Zentr.Dienste!I16+Standortkonzept!I14</f>
        <v>16071.9285</v>
      </c>
      <c r="J22" s="45">
        <f>'Sparte Grün'!J19+'Friedhöfe+Krema'!J18+St.Reinigung!J19+Kundenmanagem!J14+Deponie!J18+St.Entwässerung!J17+Zentr.Dienste!J16+Standortkonzept!J14</f>
        <v>22021.501</v>
      </c>
      <c r="K22" s="45">
        <f>'Sparte Grün'!K19+'Friedhöfe+Krema'!K18+St.Reinigung!K19+Kundenmanagem!K14+Deponie!K18+St.Entwässerung!K17+Zentr.Dienste!K16+Standortkonzept!K14</f>
        <v>14010</v>
      </c>
      <c r="L22" s="45">
        <f>'Sparte Grün'!L19+'Friedhöfe+Krema'!L18+St.Reinigung!L19+Kundenmanagem!L14+Deponie!L18+St.Entwässerung!L17+Zentr.Dienste!L16+Standortkonzept!L14</f>
        <v>14627.579</v>
      </c>
      <c r="M22" s="44">
        <f>'Sparte Grün'!M19+'Friedhöfe+Krema'!M18+St.Reinigung!M19+Kundenmanagem!M14+Deponie!M18+St.Entwässerung!M17+Zentr.Dienste!M16+Standortkonzept!M14</f>
        <v>10023.49</v>
      </c>
      <c r="N22" s="13"/>
      <c r="O22" s="13"/>
      <c r="P22" s="13"/>
    </row>
    <row r="23" spans="1:16" ht="17.100000000000001" customHeight="1">
      <c r="A23" s="35">
        <v>5</v>
      </c>
      <c r="B23" s="47" t="s">
        <v>41</v>
      </c>
      <c r="C23" s="47">
        <f t="shared" ref="C23:M23" si="1">C11+C20+C21+C22</f>
        <v>151946.01655999999</v>
      </c>
      <c r="D23" s="47">
        <f t="shared" si="1"/>
        <v>173699.91899999999</v>
      </c>
      <c r="E23" s="47">
        <f t="shared" si="1"/>
        <v>169396.09999999998</v>
      </c>
      <c r="F23" s="47">
        <f t="shared" si="1"/>
        <v>152229.89199999999</v>
      </c>
      <c r="G23" s="69">
        <f t="shared" si="1"/>
        <v>41426.459000000003</v>
      </c>
      <c r="H23" s="69">
        <f t="shared" si="1"/>
        <v>82852.918000000005</v>
      </c>
      <c r="I23" s="69">
        <f t="shared" si="1"/>
        <v>124279.37699999999</v>
      </c>
      <c r="J23" s="47">
        <f t="shared" si="1"/>
        <v>166296.19899999999</v>
      </c>
      <c r="K23" s="47">
        <f t="shared" si="1"/>
        <v>157961.68599999999</v>
      </c>
      <c r="L23" s="47">
        <f t="shared" si="1"/>
        <v>157382.476</v>
      </c>
      <c r="M23" s="49">
        <f t="shared" si="1"/>
        <v>152754.88699999999</v>
      </c>
      <c r="N23" s="13"/>
      <c r="O23" s="13"/>
      <c r="P23" s="13"/>
    </row>
    <row r="24" spans="1:16" ht="17.100000000000001" customHeight="1">
      <c r="A24" s="35">
        <v>6</v>
      </c>
      <c r="B24" s="45" t="s">
        <v>42</v>
      </c>
      <c r="C24" s="45">
        <f>'Sparte Grün'!C21+'Friedhöfe+Krema'!C20+St.Reinigung!C21+Kundenmanagem!C16+Deponie!C20+St.Entwässerung!C19+Zentr.Dienste!C18+Standortkonzept!C16</f>
        <v>2225.09</v>
      </c>
      <c r="D24" s="45">
        <f>'Sparte Grün'!D21+'Friedhöfe+Krema'!D20+St.Reinigung!D21+Kundenmanagem!D16+Deponie!D20+St.Entwässerung!D19+Zentr.Dienste!D18+Standortkonzept!D16</f>
        <v>2163.1290000000004</v>
      </c>
      <c r="E24" s="45">
        <f>'Sparte Grün'!E21+'Friedhöfe+Krema'!E20+St.Reinigung!E21+Kundenmanagem!E16+Deponie!E20+St.Entwässerung!E19+Zentr.Dienste!E18+Standortkonzept!E16</f>
        <v>2624.4949999999999</v>
      </c>
      <c r="F24" s="45">
        <f>'Sparte Grün'!F21+'Friedhöfe+Krema'!F20+St.Reinigung!F21+Kundenmanagem!F16+Deponie!F20+St.Entwässerung!F19+Zentr.Dienste!F18+Standortkonzept!F16</f>
        <v>2731.95</v>
      </c>
      <c r="G24" s="245">
        <f>'Sparte Grün'!G21+'Friedhöfe+Krema'!G20+St.Reinigung!G21+Kundenmanagem!G16+Deponie!G20+St.Entwässerung!G19+Zentr.Dienste!G18+Standortkonzept!G16</f>
        <v>553</v>
      </c>
      <c r="H24" s="245">
        <f>'Sparte Grün'!H21+'Friedhöfe+Krema'!H20+St.Reinigung!H21+Kundenmanagem!H16+Deponie!H20+St.Entwässerung!H19+Zentr.Dienste!H18+Standortkonzept!H16</f>
        <v>1106</v>
      </c>
      <c r="I24" s="245">
        <f>'Sparte Grün'!I21+'Friedhöfe+Krema'!I20+St.Reinigung!I21+Kundenmanagem!I16+Deponie!I20+St.Entwässerung!I19+Zentr.Dienste!I18+Standortkonzept!I16</f>
        <v>1659</v>
      </c>
      <c r="J24" s="45">
        <f>'Sparte Grün'!J21+'Friedhöfe+Krema'!J20+St.Reinigung!J21+Kundenmanagem!J16+Deponie!J20+St.Entwässerung!J19+Zentr.Dienste!J18+Standortkonzept!J16</f>
        <v>2212</v>
      </c>
      <c r="K24" s="45">
        <f>'Sparte Grün'!K21+'Friedhöfe+Krema'!K20+St.Reinigung!K21+Kundenmanagem!K16+Deponie!K20+St.Entwässerung!K19+Zentr.Dienste!K18+Standortkonzept!K16</f>
        <v>2208.25</v>
      </c>
      <c r="L24" s="45">
        <f>'Sparte Grün'!L21+'Friedhöfe+Krema'!L20+St.Reinigung!L21+Kundenmanagem!L16+Deponie!L20+St.Entwässerung!L19+Zentr.Dienste!L18+Standortkonzept!L16</f>
        <v>2229.7624999999998</v>
      </c>
      <c r="M24" s="44">
        <f>'Sparte Grün'!M21+'Friedhöfe+Krema'!M20+St.Reinigung!M21+Kundenmanagem!M16+Deponie!M20+St.Entwässerung!M19+Zentr.Dienste!M18+Standortkonzept!M16</f>
        <v>2252.0201250000005</v>
      </c>
      <c r="N24" s="13"/>
      <c r="O24" s="13"/>
      <c r="P24" s="13"/>
    </row>
    <row r="25" spans="1:16" ht="17.100000000000001" customHeight="1">
      <c r="A25" s="35">
        <v>7</v>
      </c>
      <c r="B25" s="45" t="s">
        <v>43</v>
      </c>
      <c r="C25" s="45">
        <f>'Sparte Grün'!C22+'Friedhöfe+Krema'!C21+St.Reinigung!C22+Kundenmanagem!C17+Deponie!C21+St.Entwässerung!C20+Zentr.Dienste!C19+Standortkonzept!C17</f>
        <v>94027.299499999994</v>
      </c>
      <c r="D25" s="45">
        <f>'Sparte Grün'!D22+'Friedhöfe+Krema'!D21+St.Reinigung!D22+Kundenmanagem!D17+Deponie!D21+St.Entwässerung!D20+Zentr.Dienste!D19+Standortkonzept!D17</f>
        <v>97408.616999999998</v>
      </c>
      <c r="E25" s="45">
        <f>'Sparte Grün'!E22+'Friedhöfe+Krema'!E21+St.Reinigung!E22+Kundenmanagem!E17+Deponie!E21+St.Entwässerung!E20+Zentr.Dienste!E19+Standortkonzept!E17</f>
        <v>100054.618</v>
      </c>
      <c r="F25" s="45">
        <f>'Sparte Grün'!F22+'Friedhöfe+Krema'!F21+St.Reinigung!F22+Kundenmanagem!F17+Deponie!F21+St.Entwässerung!F20+Zentr.Dienste!F19+Standortkonzept!F17</f>
        <v>95381.903000000006</v>
      </c>
      <c r="G25" s="245">
        <f>'Sparte Grün'!G22+'Friedhöfe+Krema'!G21+St.Reinigung!G22+Kundenmanagem!G17+Deponie!G21+St.Entwässerung!G20+Zentr.Dienste!G19+Standortkonzept!G17</f>
        <v>25033.200000000001</v>
      </c>
      <c r="H25" s="245">
        <f>'Sparte Grün'!H22+'Friedhöfe+Krema'!H21+St.Reinigung!H22+Kundenmanagem!H17+Deponie!H21+St.Entwässerung!H20+Zentr.Dienste!H19+Standortkonzept!H17</f>
        <v>50066.400000000001</v>
      </c>
      <c r="I25" s="245">
        <f>'Sparte Grün'!I22+'Friedhöfe+Krema'!I21+St.Reinigung!I22+Kundenmanagem!I17+Deponie!I21+St.Entwässerung!I20+Zentr.Dienste!I19+Standortkonzept!I17</f>
        <v>75099.600000000006</v>
      </c>
      <c r="J25" s="45">
        <f>'Sparte Grün'!J22+'Friedhöfe+Krema'!J21+St.Reinigung!J22+Kundenmanagem!J17+Deponie!J21+St.Entwässerung!J20+Zentr.Dienste!J19+Standortkonzept!J17</f>
        <v>100132.8</v>
      </c>
      <c r="K25" s="45">
        <f>'Sparte Grün'!K22+'Friedhöfe+Krema'!K21+St.Reinigung!K22+Kundenmanagem!K17+Deponie!K21+St.Entwässerung!K20+Zentr.Dienste!K19+Standortkonzept!K17</f>
        <v>97184.87</v>
      </c>
      <c r="L25" s="45">
        <f>'Sparte Grün'!L22+'Friedhöfe+Krema'!L21+St.Reinigung!L22+Kundenmanagem!L17+Deponie!L21+St.Entwässerung!L20+Zentr.Dienste!L19+Standortkonzept!L17</f>
        <v>98483.265000000014</v>
      </c>
      <c r="M25" s="44">
        <f>'Sparte Grün'!M22+'Friedhöfe+Krema'!M21+St.Reinigung!M22+Kundenmanagem!M17+Deponie!M21+St.Entwässerung!M20+Zentr.Dienste!M19+Standortkonzept!M17</f>
        <v>98058.404139999999</v>
      </c>
      <c r="N25" s="13"/>
      <c r="O25" s="13"/>
      <c r="P25" s="13"/>
    </row>
    <row r="26" spans="1:16" ht="17.100000000000001" customHeight="1">
      <c r="A26" s="35">
        <v>8</v>
      </c>
      <c r="B26" s="45" t="s">
        <v>44</v>
      </c>
      <c r="C26" s="45">
        <f>'Sparte Grün'!C23+'Friedhöfe+Krema'!C22+St.Reinigung!C23+Kundenmanagem!C18+Deponie!C22+St.Entwässerung!C21+Zentr.Dienste!C20+Standortkonzept!C18</f>
        <v>23739.365999999998</v>
      </c>
      <c r="D26" s="45">
        <f>'Sparte Grün'!D23+'Friedhöfe+Krema'!D22+St.Reinigung!D23+Kundenmanagem!D18+Deponie!D22+St.Entwässerung!D21+Zentr.Dienste!D20+Standortkonzept!D18</f>
        <v>24605.964000000004</v>
      </c>
      <c r="E26" s="45">
        <f>'Sparte Grün'!E23+'Friedhöfe+Krema'!E22+St.Reinigung!E23+Kundenmanagem!E18+Deponie!E22+St.Entwässerung!E21+Zentr.Dienste!E20+Standortkonzept!E18</f>
        <v>26098.752470771251</v>
      </c>
      <c r="F26" s="45">
        <f>'Sparte Grün'!F23+'Friedhöfe+Krema'!F22+St.Reinigung!F23+Kundenmanagem!F18+Deponie!F22+St.Entwässerung!F21+Zentr.Dienste!F20+Standortkonzept!F18</f>
        <v>26144.823999999997</v>
      </c>
      <c r="G26" s="245">
        <f>'Sparte Grün'!G23+'Friedhöfe+Krema'!G22+St.Reinigung!G23+Kundenmanagem!G18+Deponie!G22+St.Entwässerung!G21+Zentr.Dienste!G20+Standortkonzept!G18</f>
        <v>6602.7910456781256</v>
      </c>
      <c r="H26" s="245">
        <f>'Sparte Grün'!H23+'Friedhöfe+Krema'!H22+St.Reinigung!H23+Kundenmanagem!H18+Deponie!H22+St.Entwässerung!H21+Zentr.Dienste!H20+Standortkonzept!H18</f>
        <v>13205.582091356251</v>
      </c>
      <c r="I26" s="245">
        <f>'Sparte Grün'!I23+'Friedhöfe+Krema'!I22+St.Reinigung!I23+Kundenmanagem!I18+Deponie!I22+St.Entwässerung!I21+Zentr.Dienste!I20+Standortkonzept!I18</f>
        <v>19808.373137034374</v>
      </c>
      <c r="J26" s="45">
        <f>'Sparte Grün'!J23+'Friedhöfe+Krema'!J22+St.Reinigung!J23+Kundenmanagem!J18+Deponie!J22+St.Entwässerung!J21+Zentr.Dienste!J20+Standortkonzept!J18</f>
        <v>26411.164182712502</v>
      </c>
      <c r="K26" s="45">
        <f>'Sparte Grün'!K23+'Friedhöfe+Krema'!K22+St.Reinigung!K23+Kundenmanagem!K18+Deponie!K22+St.Entwässerung!K21+Zentr.Dienste!K20+Standortkonzept!K18</f>
        <v>26341.799209075758</v>
      </c>
      <c r="L26" s="45">
        <f>'Sparte Grün'!L23+'Friedhöfe+Krema'!L22+St.Reinigung!L23+Kundenmanagem!L18+Deponie!L22+St.Entwässerung!L21+Zentr.Dienste!L20+Standortkonzept!L18</f>
        <v>26495.012832707522</v>
      </c>
      <c r="M26" s="44">
        <f>'Sparte Grün'!M23+'Friedhöfe+Krema'!M22+St.Reinigung!M23+Kundenmanagem!M18+Deponie!M22+St.Entwässerung!M21+Zentr.Dienste!M20+Standortkonzept!M18</f>
        <v>26771.560722903941</v>
      </c>
    </row>
    <row r="27" spans="1:16" ht="17.100000000000001" customHeight="1">
      <c r="A27" s="35">
        <v>9</v>
      </c>
      <c r="B27" s="45" t="s">
        <v>45</v>
      </c>
      <c r="C27" s="45">
        <f>'Sparte Grün'!C24+'Friedhöfe+Krema'!C23+St.Reinigung!C24+Kundenmanagem!C19+Deponie!C23+St.Entwässerung!C22+Zentr.Dienste!C21+Standortkonzept!C19</f>
        <v>15342.923000000001</v>
      </c>
      <c r="D27" s="45">
        <f>'Sparte Grün'!D24+'Friedhöfe+Krema'!D23+St.Reinigung!D24+Kundenmanagem!D19+Deponie!D23+St.Entwässerung!D22+Zentr.Dienste!D21+Standortkonzept!D19</f>
        <v>15265.048999999999</v>
      </c>
      <c r="E27" s="45">
        <f>'Sparte Grün'!E24+'Friedhöfe+Krema'!E23+St.Reinigung!E24+Kundenmanagem!E19+Deponie!E23+St.Entwässerung!E22+Zentr.Dienste!E21+Standortkonzept!E19</f>
        <v>15738.165000000001</v>
      </c>
      <c r="F27" s="45">
        <f>'Sparte Grün'!F24+'Friedhöfe+Krema'!F23+St.Reinigung!F24+Kundenmanagem!F19+Deponie!F23+St.Entwässerung!F22+Zentr.Dienste!F21+Standortkonzept!F19</f>
        <v>15635.585000000001</v>
      </c>
      <c r="G27" s="245">
        <f>'Sparte Grün'!G24+'Friedhöfe+Krema'!G23+St.Reinigung!G24+Kundenmanagem!G19+Deponie!G23+St.Entwässerung!G22+Zentr.Dienste!G21+Standortkonzept!G19</f>
        <v>3858.5340000000001</v>
      </c>
      <c r="H27" s="245">
        <f>'Sparte Grün'!H24+'Friedhöfe+Krema'!H23+St.Reinigung!H24+Kundenmanagem!H19+Deponie!H23+St.Entwässerung!H22+Zentr.Dienste!H21+Standortkonzept!H19</f>
        <v>7717.0680000000002</v>
      </c>
      <c r="I27" s="245">
        <f>'Sparte Grün'!I24+'Friedhöfe+Krema'!I23+St.Reinigung!I24+Kundenmanagem!I19+Deponie!I23+St.Entwässerung!I22+Zentr.Dienste!I21+Standortkonzept!I19</f>
        <v>11575.601999999999</v>
      </c>
      <c r="J27" s="45">
        <f>'Sparte Grün'!J24+'Friedhöfe+Krema'!J23+St.Reinigung!J24+Kundenmanagem!J19+Deponie!J23+St.Entwässerung!J22+Zentr.Dienste!J21+Standortkonzept!J19</f>
        <v>15435.136</v>
      </c>
      <c r="K27" s="45">
        <f>'Sparte Grün'!K24+'Friedhöfe+Krema'!K23+St.Reinigung!K24+Kundenmanagem!K19+Deponie!K23+St.Entwässerung!K22+Zentr.Dienste!K21+Standortkonzept!K19</f>
        <v>15394.248</v>
      </c>
      <c r="L27" s="45">
        <f>'Sparte Grün'!L24+'Friedhöfe+Krema'!L23+St.Reinigung!L24+Kundenmanagem!L19+Deponie!L23+St.Entwässerung!L22+Zentr.Dienste!L21+Standortkonzept!L19</f>
        <v>15347.806999999999</v>
      </c>
      <c r="M27" s="44">
        <f>'Sparte Grün'!M24+'Friedhöfe+Krema'!M23+St.Reinigung!M24+Kundenmanagem!M19+Deponie!M23+St.Entwässerung!M22+Zentr.Dienste!M21+Standortkonzept!M19</f>
        <v>15259.503000000001</v>
      </c>
    </row>
    <row r="28" spans="1:16" ht="17.100000000000001" customHeight="1">
      <c r="A28" s="35">
        <v>10</v>
      </c>
      <c r="B28" s="45" t="s">
        <v>46</v>
      </c>
      <c r="C28" s="45">
        <f>'Sparte Grün'!C25+'Friedhöfe+Krema'!C24+St.Reinigung!C25+Kundenmanagem!C20+Deponie!C24+St.Entwässerung!C23+Zentr.Dienste!C22+Standortkonzept!C20</f>
        <v>8049.2089999999998</v>
      </c>
      <c r="D28" s="45">
        <f>'Sparte Grün'!D25+'Friedhöfe+Krema'!D24+St.Reinigung!D25+Kundenmanagem!D20+Deponie!D24+St.Entwässerung!D23+Zentr.Dienste!D22+Standortkonzept!D20</f>
        <v>6035.9159999999993</v>
      </c>
      <c r="E28" s="45">
        <f>'Sparte Grün'!E25+'Friedhöfe+Krema'!E24+St.Reinigung!E25+Kundenmanagem!E20+Deponie!E24+St.Entwässerung!E23+Zentr.Dienste!E22+Standortkonzept!E20</f>
        <v>6918.933</v>
      </c>
      <c r="F28" s="45">
        <f>'Sparte Grün'!F25+'Friedhöfe+Krema'!F24+St.Reinigung!F25+Kundenmanagem!F20+Deponie!F24+St.Entwässerung!F23+Zentr.Dienste!F22+Standortkonzept!F20</f>
        <v>7280.9189999999999</v>
      </c>
      <c r="G28" s="245">
        <f>'Sparte Grün'!G25+'Friedhöfe+Krema'!G24+St.Reinigung!G25+Kundenmanagem!G20+Deponie!G24+St.Entwässerung!G23+Zentr.Dienste!G22+Standortkonzept!G20</f>
        <v>1698</v>
      </c>
      <c r="H28" s="245">
        <f>'Sparte Grün'!H25+'Friedhöfe+Krema'!H24+St.Reinigung!H25+Kundenmanagem!H20+Deponie!H24+St.Entwässerung!H23+Zentr.Dienste!H22+Standortkonzept!H20</f>
        <v>3396</v>
      </c>
      <c r="I28" s="245">
        <f>'Sparte Grün'!I25+'Friedhöfe+Krema'!I24+St.Reinigung!I25+Kundenmanagem!I20+Deponie!I24+St.Entwässerung!I23+Zentr.Dienste!I22+Standortkonzept!I20</f>
        <v>5094</v>
      </c>
      <c r="J28" s="45">
        <f>'Sparte Grün'!J25+'Friedhöfe+Krema'!J24+St.Reinigung!J25+Kundenmanagem!J20+Deponie!J24+St.Entwässerung!J23+Zentr.Dienste!J22+Standortkonzept!J20</f>
        <v>6787</v>
      </c>
      <c r="K28" s="45">
        <f>'Sparte Grün'!K25+'Friedhöfe+Krema'!K24+St.Reinigung!K25+Kundenmanagem!K20+Deponie!K24+St.Entwässerung!K23+Zentr.Dienste!K22+Standortkonzept!K20</f>
        <v>6784</v>
      </c>
      <c r="L28" s="45">
        <f>'Sparte Grün'!L25+'Friedhöfe+Krema'!L24+St.Reinigung!L25+Kundenmanagem!L20+Deponie!L24+St.Entwässerung!L23+Zentr.Dienste!L22+Standortkonzept!L20</f>
        <v>6673.15</v>
      </c>
      <c r="M28" s="44">
        <f>'Sparte Grün'!M25+'Friedhöfe+Krema'!M24+St.Reinigung!M25+Kundenmanagem!M20+Deponie!M24+St.Entwässerung!M23+Zentr.Dienste!M22+Standortkonzept!M20</f>
        <v>6825.0315000000001</v>
      </c>
    </row>
    <row r="29" spans="1:16" s="14" customFormat="1" ht="17.100000000000001" customHeight="1">
      <c r="A29" s="35">
        <v>11</v>
      </c>
      <c r="B29" s="45" t="s">
        <v>47</v>
      </c>
      <c r="C29" s="394">
        <f>'Sparte Grün'!C26+'Friedhöfe+Krema'!C25+St.Reinigung!C26+Kundenmanagem!C21+Deponie!C25+St.Entwässerung!C24+Zentr.Dienste!C23+Standortkonzept!C21</f>
        <v>-9.0949470177292824E-13</v>
      </c>
      <c r="D29" s="395">
        <f>'Sparte Grün'!D26+'Friedhöfe+Krema'!D25+St.Reinigung!D26+Kundenmanagem!D21+Deponie!D25+St.Entwässerung!D24+Zentr.Dienste!D23+Standortkonzept!D21</f>
        <v>-9.9999999985084242E-4</v>
      </c>
      <c r="E29" s="395">
        <f>'Sparte Grün'!E26+'Friedhöfe+Krema'!E25+St.Reinigung!E26+Kundenmanagem!E21+Deponie!E25+St.Entwässerung!E24+Zentr.Dienste!E23+Standortkonzept!E21</f>
        <v>0</v>
      </c>
      <c r="F29" s="395">
        <f>'Sparte Grün'!F26+'Friedhöfe+Krema'!F25+St.Reinigung!F26+Kundenmanagem!F21+Deponie!F25+St.Entwässerung!F24+Zentr.Dienste!F23+Standortkonzept!F21</f>
        <v>1.0000000002037268E-3</v>
      </c>
      <c r="G29" s="395">
        <f>'Sparte Grün'!G26+'Friedhöfe+Krema'!G25+St.Reinigung!G26+Kundenmanagem!G21+Deponie!G25+St.Entwässerung!G24+Zentr.Dienste!G23+Standortkonzept!G21</f>
        <v>0</v>
      </c>
      <c r="H29" s="395">
        <f>'Sparte Grün'!H26+'Friedhöfe+Krema'!H25+St.Reinigung!H26+Kundenmanagem!H21+Deponie!H25+St.Entwässerung!H24+Zentr.Dienste!H23+Standortkonzept!H21</f>
        <v>0</v>
      </c>
      <c r="I29" s="395">
        <f>'Sparte Grün'!I26+'Friedhöfe+Krema'!I25+St.Reinigung!I26+Kundenmanagem!I21+Deponie!I25+St.Entwässerung!I24+Zentr.Dienste!I23+Standortkonzept!I21</f>
        <v>0</v>
      </c>
      <c r="J29" s="395">
        <f>'Sparte Grün'!J26+'Friedhöfe+Krema'!J25+St.Reinigung!J26+Kundenmanagem!J21+Deponie!J25+St.Entwässerung!J24+Zentr.Dienste!J23+Standortkonzept!J21</f>
        <v>0</v>
      </c>
      <c r="K29" s="395">
        <f>'Sparte Grün'!K26+'Friedhöfe+Krema'!K25+St.Reinigung!K26+Kundenmanagem!K21+Deponie!K25+St.Entwässerung!K24+Zentr.Dienste!K23+Standortkonzept!K21</f>
        <v>-7.9999999999984084E-2</v>
      </c>
      <c r="L29" s="395">
        <f>'Sparte Grün'!L26+'Friedhöfe+Krema'!L25+St.Reinigung!L26+Kundenmanagem!L21+Deponie!L25+St.Entwässerung!L24+Zentr.Dienste!L23+Standortkonzept!L21</f>
        <v>0.38000000000010914</v>
      </c>
      <c r="M29" s="396">
        <f>'Sparte Grün'!M26+'Friedhöfe+Krema'!M25+St.Reinigung!M26+Kundenmanagem!M21+Deponie!M25+St.Entwässerung!M24+Zentr.Dienste!M23+Standortkonzept!M21</f>
        <v>0.18130000000019209</v>
      </c>
    </row>
    <row r="30" spans="1:16" ht="17.100000000000001" customHeight="1">
      <c r="A30" s="35">
        <v>12</v>
      </c>
      <c r="B30" s="45" t="s">
        <v>48</v>
      </c>
      <c r="C30" s="394">
        <f>'Sparte Grün'!C27+'Friedhöfe+Krema'!C26+St.Reinigung!C27+Kundenmanagem!C22+Deponie!C26+St.Entwässerung!C25+Zentr.Dienste!C24+Standortkonzept!C22</f>
        <v>-6.9999999999037499E-3</v>
      </c>
      <c r="D30" s="394">
        <f>'Sparte Grün'!D27+'Friedhöfe+Krema'!D26+St.Reinigung!D27+Kundenmanagem!D22+Deponie!D26+St.Entwässerung!D25+Zentr.Dienste!D24+Standortkonzept!D22</f>
        <v>-3.2862601528904634E-14</v>
      </c>
      <c r="E30" s="394">
        <f>'Sparte Grün'!E27+'Friedhöfe+Krema'!E26+St.Reinigung!E27+Kundenmanagem!E22+Deponie!E26+St.Entwässerung!E25+Zentr.Dienste!E24+Standortkonzept!E22</f>
        <v>0.29400000000002535</v>
      </c>
      <c r="F30" s="394">
        <f>'Sparte Grün'!F27+'Friedhöfe+Krema'!F26+St.Reinigung!F27+Kundenmanagem!F22+Deponie!F26+St.Entwässerung!F25+Zentr.Dienste!F24+Standortkonzept!F22</f>
        <v>-0.29999999999984084</v>
      </c>
      <c r="G30" s="394">
        <f>'Sparte Grün'!G27+'Friedhöfe+Krema'!G26+St.Reinigung!G27+Kundenmanagem!G22+Deponie!G26+St.Entwässerung!G25+Zentr.Dienste!G24+Standortkonzept!G22</f>
        <v>0</v>
      </c>
      <c r="H30" s="394">
        <f>'Sparte Grün'!H27+'Friedhöfe+Krema'!H26+St.Reinigung!H27+Kundenmanagem!H22+Deponie!H26+St.Entwässerung!H25+Zentr.Dienste!H24+Standortkonzept!H22</f>
        <v>0</v>
      </c>
      <c r="I30" s="394">
        <f>'Sparte Grün'!I27+'Friedhöfe+Krema'!I26+St.Reinigung!I27+Kundenmanagem!I22+Deponie!I26+St.Entwässerung!I25+Zentr.Dienste!I24+Standortkonzept!I22</f>
        <v>0</v>
      </c>
      <c r="J30" s="394">
        <f>'Sparte Grün'!J27+'Friedhöfe+Krema'!J26+St.Reinigung!J27+Kundenmanagem!J22+Deponie!J26+St.Entwässerung!J25+Zentr.Dienste!J24+Standortkonzept!J22</f>
        <v>0</v>
      </c>
      <c r="K30" s="394">
        <f>'Sparte Grün'!K27+'Friedhöfe+Krema'!K26+St.Reinigung!K27+Kundenmanagem!K22+Deponie!K26+St.Entwässerung!K25+Zentr.Dienste!K24+Standortkonzept!K22</f>
        <v>0</v>
      </c>
      <c r="L30" s="394">
        <f>'Sparte Grün'!L27+'Friedhöfe+Krema'!L26+St.Reinigung!L27+Kundenmanagem!L22+Deponie!L26+St.Entwässerung!L25+Zentr.Dienste!L24+Standortkonzept!L22</f>
        <v>0</v>
      </c>
      <c r="M30" s="397">
        <f>'Sparte Grün'!M27+'Friedhöfe+Krema'!M26+St.Reinigung!M27+Kundenmanagem!M22+Deponie!M26+St.Entwässerung!M25+Zentr.Dienste!M24+Standortkonzept!M22</f>
        <v>0</v>
      </c>
    </row>
    <row r="31" spans="1:16" ht="17.100000000000001" customHeight="1">
      <c r="A31" s="35">
        <v>13</v>
      </c>
      <c r="B31" s="47" t="s">
        <v>49</v>
      </c>
      <c r="C31" s="47">
        <f t="shared" ref="C31:M31" si="2">SUM(C24:C30)</f>
        <v>143383.88049999997</v>
      </c>
      <c r="D31" s="47">
        <f>SUM(D24:D30)</f>
        <v>145478.67400000003</v>
      </c>
      <c r="E31" s="47">
        <f>SUM(E24:E30)</f>
        <v>151435.25747077123</v>
      </c>
      <c r="F31" s="47">
        <f t="shared" ref="F31:I31" si="3">SUM(F24:F30)</f>
        <v>147174.88199999998</v>
      </c>
      <c r="G31" s="69">
        <f t="shared" si="3"/>
        <v>37745.525045678129</v>
      </c>
      <c r="H31" s="69">
        <f t="shared" si="3"/>
        <v>75491.050091356257</v>
      </c>
      <c r="I31" s="69">
        <f t="shared" si="3"/>
        <v>113236.57513703438</v>
      </c>
      <c r="J31" s="50">
        <f t="shared" si="2"/>
        <v>150978.10018271251</v>
      </c>
      <c r="K31" s="50">
        <f t="shared" si="2"/>
        <v>147913.08720907578</v>
      </c>
      <c r="L31" s="51">
        <f t="shared" si="2"/>
        <v>149229.37733270752</v>
      </c>
      <c r="M31" s="50">
        <f t="shared" si="2"/>
        <v>149166.70078790394</v>
      </c>
    </row>
    <row r="32" spans="1:16" ht="17.100000000000001" customHeight="1">
      <c r="A32" s="35">
        <v>14</v>
      </c>
      <c r="B32" s="52" t="s">
        <v>50</v>
      </c>
      <c r="C32" s="52">
        <f>C23-C31</f>
        <v>8562.1360600000189</v>
      </c>
      <c r="D32" s="52">
        <f t="shared" ref="D32:M32" si="4">D23-D31</f>
        <v>28221.244999999966</v>
      </c>
      <c r="E32" s="52">
        <f t="shared" si="4"/>
        <v>17960.842529228743</v>
      </c>
      <c r="F32" s="52">
        <f t="shared" si="4"/>
        <v>5055.0100000000093</v>
      </c>
      <c r="G32" s="70">
        <f t="shared" si="4"/>
        <v>3680.9339543218739</v>
      </c>
      <c r="H32" s="70">
        <f t="shared" si="4"/>
        <v>7361.8679086437478</v>
      </c>
      <c r="I32" s="70">
        <f t="shared" si="4"/>
        <v>11042.801862965614</v>
      </c>
      <c r="J32" s="52">
        <f t="shared" si="4"/>
        <v>15318.098817287479</v>
      </c>
      <c r="K32" s="52">
        <f t="shared" si="4"/>
        <v>10048.59879092421</v>
      </c>
      <c r="L32" s="52">
        <f t="shared" si="4"/>
        <v>8153.0986672924773</v>
      </c>
      <c r="M32" s="54">
        <f t="shared" si="4"/>
        <v>3588.1862120960432</v>
      </c>
    </row>
    <row r="33" spans="1:15" ht="17.100000000000001" customHeight="1">
      <c r="A33" s="35">
        <v>15</v>
      </c>
      <c r="B33" s="45" t="s">
        <v>51</v>
      </c>
      <c r="C33" s="45"/>
      <c r="D33" s="45"/>
      <c r="E33" s="45"/>
      <c r="F33" s="45"/>
      <c r="G33" s="41"/>
      <c r="H33" s="41"/>
      <c r="I33" s="41"/>
      <c r="J33" s="55"/>
      <c r="K33" s="55"/>
      <c r="L33" s="56"/>
      <c r="M33" s="55"/>
    </row>
    <row r="34" spans="1:15" ht="17.100000000000001" customHeight="1">
      <c r="A34" s="35">
        <v>16</v>
      </c>
      <c r="B34" s="45" t="s">
        <v>52</v>
      </c>
      <c r="C34" s="45">
        <f>'Sparte Grün'!C31+'Friedhöfe+Krema'!C30+St.Reinigung!C31+Kundenmanagem!C26+Deponie!C30+St.Entwässerung!C29+Zentr.Dienste!C28+Standortkonzept!C26</f>
        <v>13.5</v>
      </c>
      <c r="D34" s="45">
        <f>'Sparte Grün'!D31+'Friedhöfe+Krema'!D30+St.Reinigung!D31+Kundenmanagem!D26+Deponie!D30+St.Entwässerung!D29+Zentr.Dienste!D28+Standortkonzept!D26</f>
        <v>13.475</v>
      </c>
      <c r="E34" s="45">
        <f>'Sparte Grün'!E31+'Friedhöfe+Krema'!E30+St.Reinigung!E31+Kundenmanagem!E26+Deponie!E30+St.Entwässerung!E29+Zentr.Dienste!E28+Standortkonzept!E26</f>
        <v>12</v>
      </c>
      <c r="F34" s="45">
        <f>'Sparte Grün'!F31+'Friedhöfe+Krema'!F30+St.Reinigung!F31+Kundenmanagem!F26+Deponie!F30+St.Entwässerung!F29+Zentr.Dienste!F28+Standortkonzept!F26</f>
        <v>36.5</v>
      </c>
      <c r="G34" s="245">
        <f>'Sparte Grün'!G31+'Friedhöfe+Krema'!G30+St.Reinigung!G31+Kundenmanagem!G26+Deponie!G30+St.Entwässerung!G29+Zentr.Dienste!G28+Standortkonzept!G26</f>
        <v>3.25</v>
      </c>
      <c r="H34" s="245">
        <f>'Sparte Grün'!H31+'Friedhöfe+Krema'!H30+St.Reinigung!H31+Kundenmanagem!H26+Deponie!H30+St.Entwässerung!H29+Zentr.Dienste!H28+Standortkonzept!H26</f>
        <v>6.5</v>
      </c>
      <c r="I34" s="245">
        <f>'Sparte Grün'!I31+'Friedhöfe+Krema'!I30+St.Reinigung!I31+Kundenmanagem!I26+Deponie!I30+St.Entwässerung!I29+Zentr.Dienste!I28+Standortkonzept!I26</f>
        <v>9.75</v>
      </c>
      <c r="J34" s="45">
        <f>'Sparte Grün'!J31+'Friedhöfe+Krema'!J30+St.Reinigung!J31+Kundenmanagem!J26+Deponie!J30+St.Entwässerung!J29+Zentr.Dienste!J28+Standortkonzept!J26</f>
        <v>13</v>
      </c>
      <c r="K34" s="45">
        <f>'Sparte Grün'!K31+'Friedhöfe+Krema'!K30+St.Reinigung!K31+Kundenmanagem!K26+Deponie!K30+St.Entwässerung!K29+Zentr.Dienste!K28+Standortkonzept!K26</f>
        <v>13</v>
      </c>
      <c r="L34" s="45">
        <f>'Sparte Grün'!L31+'Friedhöfe+Krema'!L30+St.Reinigung!L31+Kundenmanagem!L26+Deponie!L30+St.Entwässerung!L29+Zentr.Dienste!L28+Standortkonzept!L26</f>
        <v>13</v>
      </c>
      <c r="M34" s="44">
        <f>'Sparte Grün'!M31+'Friedhöfe+Krema'!M30+St.Reinigung!M31+Kundenmanagem!M26+Deponie!M30+St.Entwässerung!M29+Zentr.Dienste!M28+Standortkonzept!M26</f>
        <v>13</v>
      </c>
    </row>
    <row r="35" spans="1:15" ht="17.100000000000001" customHeight="1">
      <c r="A35" s="35">
        <v>17</v>
      </c>
      <c r="B35" s="45" t="s">
        <v>53</v>
      </c>
      <c r="C35" s="45">
        <f>'Sparte Grün'!C32+'Friedhöfe+Krema'!C31+St.Reinigung!C32+Kundenmanagem!C27+Deponie!C31+St.Entwässerung!C30+Zentr.Dienste!C29+Standortkonzept!C27</f>
        <v>4892.098</v>
      </c>
      <c r="D35" s="45">
        <f>'Sparte Grün'!D32+'Friedhöfe+Krema'!D31+St.Reinigung!D32+Kundenmanagem!D27+Deponie!D31+St.Entwässerung!D30+Zentr.Dienste!D29+Standortkonzept!D27</f>
        <v>9867.2709999999988</v>
      </c>
      <c r="E35" s="45">
        <f>'Sparte Grün'!E32+'Friedhöfe+Krema'!E31+St.Reinigung!E32+Kundenmanagem!E27+Deponie!E31+St.Entwässerung!E30+Zentr.Dienste!E29+Standortkonzept!E27</f>
        <v>12240.3</v>
      </c>
      <c r="F35" s="45">
        <f>'Sparte Grün'!F32+'Friedhöfe+Krema'!F31+St.Reinigung!F32+Kundenmanagem!F27+Deponie!F31+St.Entwässerung!F30+Zentr.Dienste!F29+Standortkonzept!F27</f>
        <v>8397.7049999999999</v>
      </c>
      <c r="G35" s="245">
        <f>'Sparte Grün'!G32+'Friedhöfe+Krema'!G31+St.Reinigung!G32+Kundenmanagem!G27+Deponie!G31+St.Entwässerung!G30+Zentr.Dienste!G29+Standortkonzept!G27</f>
        <v>1294.2625</v>
      </c>
      <c r="H35" s="245">
        <f>'Sparte Grün'!H32+'Friedhöfe+Krema'!H31+St.Reinigung!H32+Kundenmanagem!H27+Deponie!H31+St.Entwässerung!H30+Zentr.Dienste!H29+Standortkonzept!H27</f>
        <v>2588.5250000000001</v>
      </c>
      <c r="I35" s="245">
        <f>'Sparte Grün'!I32+'Friedhöfe+Krema'!I31+St.Reinigung!I32+Kundenmanagem!I27+Deponie!I31+St.Entwässerung!I30+Zentr.Dienste!I29+Standortkonzept!I27</f>
        <v>3882.7874999999999</v>
      </c>
      <c r="J35" s="45">
        <f>'Sparte Grün'!J32+'Friedhöfe+Krema'!J31+St.Reinigung!J32+Kundenmanagem!J27+Deponie!J31+St.Entwässerung!J30+Zentr.Dienste!J29+Standortkonzept!J27</f>
        <v>5177.05</v>
      </c>
      <c r="K35" s="45">
        <f>'Sparte Grün'!K32+'Friedhöfe+Krema'!K31+St.Reinigung!K32+Kundenmanagem!K27+Deponie!K31+St.Entwässerung!K30+Zentr.Dienste!K29+Standortkonzept!K27</f>
        <v>5034.05</v>
      </c>
      <c r="L35" s="45">
        <f>'Sparte Grün'!L32+'Friedhöfe+Krema'!L31+St.Reinigung!L32+Kundenmanagem!L27+Deponie!L31+St.Entwässerung!L30+Zentr.Dienste!L29+Standortkonzept!L27</f>
        <v>3316.05</v>
      </c>
      <c r="M35" s="44">
        <f>'Sparte Grün'!M32+'Friedhöfe+Krema'!M31+St.Reinigung!M32+Kundenmanagem!M27+Deponie!M31+St.Entwässerung!M30+Zentr.Dienste!M29+Standortkonzept!M27</f>
        <v>401.05</v>
      </c>
      <c r="N35" s="13"/>
      <c r="O35" s="13"/>
    </row>
    <row r="36" spans="1:15" ht="17.100000000000001" customHeight="1">
      <c r="A36" s="35">
        <v>18</v>
      </c>
      <c r="B36" s="57" t="s">
        <v>54</v>
      </c>
      <c r="C36" s="57">
        <f>C33+C34-C35</f>
        <v>-4878.598</v>
      </c>
      <c r="D36" s="57">
        <f t="shared" ref="D36:M36" si="5">D33+D34-D35</f>
        <v>-9853.7959999999985</v>
      </c>
      <c r="E36" s="57">
        <f t="shared" si="5"/>
        <v>-12228.3</v>
      </c>
      <c r="F36" s="57">
        <f t="shared" si="5"/>
        <v>-8361.2049999999999</v>
      </c>
      <c r="G36" s="71">
        <f t="shared" si="5"/>
        <v>-1291.0125</v>
      </c>
      <c r="H36" s="71">
        <f t="shared" si="5"/>
        <v>-2582.0250000000001</v>
      </c>
      <c r="I36" s="71">
        <f t="shared" si="5"/>
        <v>-3873.0374999999999</v>
      </c>
      <c r="J36" s="57">
        <f t="shared" si="5"/>
        <v>-5164.05</v>
      </c>
      <c r="K36" s="57">
        <f t="shared" si="5"/>
        <v>-5021.05</v>
      </c>
      <c r="L36" s="57">
        <f t="shared" si="5"/>
        <v>-3303.05</v>
      </c>
      <c r="M36" s="59">
        <f t="shared" si="5"/>
        <v>-388.05</v>
      </c>
      <c r="N36" s="15"/>
      <c r="O36" s="16"/>
    </row>
    <row r="37" spans="1:15" ht="17.100000000000001" customHeight="1">
      <c r="A37" s="35">
        <v>19</v>
      </c>
      <c r="B37" s="60" t="s">
        <v>55</v>
      </c>
      <c r="C37" s="52">
        <f t="shared" ref="C37:M37" si="6">C32+C36</f>
        <v>3683.538060000019</v>
      </c>
      <c r="D37" s="52">
        <f t="shared" si="6"/>
        <v>18367.448999999968</v>
      </c>
      <c r="E37" s="52">
        <f>E32+E36</f>
        <v>5732.5425292287437</v>
      </c>
      <c r="F37" s="52">
        <f t="shared" ref="F37:I37" si="7">F32+F36</f>
        <v>-3306.1949999999906</v>
      </c>
      <c r="G37" s="70">
        <f t="shared" si="7"/>
        <v>2389.9214543218741</v>
      </c>
      <c r="H37" s="70">
        <f t="shared" si="7"/>
        <v>4779.8429086437482</v>
      </c>
      <c r="I37" s="70">
        <f t="shared" si="7"/>
        <v>7169.7643629656141</v>
      </c>
      <c r="J37" s="61">
        <f t="shared" si="6"/>
        <v>10154.048817287479</v>
      </c>
      <c r="K37" s="61">
        <f t="shared" si="6"/>
        <v>5027.5487909242102</v>
      </c>
      <c r="L37" s="62">
        <f t="shared" si="6"/>
        <v>4850.0486672924771</v>
      </c>
      <c r="M37" s="61">
        <f t="shared" si="6"/>
        <v>3200.136212096043</v>
      </c>
      <c r="N37" s="15"/>
      <c r="O37" s="16"/>
    </row>
    <row r="38" spans="1:15" ht="17.100000000000001" customHeight="1">
      <c r="A38" s="35">
        <v>20</v>
      </c>
      <c r="B38" s="4" t="s">
        <v>56</v>
      </c>
      <c r="C38" s="45">
        <f>'Sparte Grün'!C35+'Friedhöfe+Krema'!C34+St.Reinigung!C35+Kundenmanagem!C30+Deponie!C34+St.Entwässerung!C33+Zentr.Dienste!C32+Standortkonzept!C30</f>
        <v>-1928.096</v>
      </c>
      <c r="D38" s="45">
        <f>'Sparte Grün'!D35+'Friedhöfe+Krema'!D34+St.Reinigung!D35+Kundenmanagem!D30+Deponie!D34+St.Entwässerung!D33+Zentr.Dienste!D32+Standortkonzept!D30</f>
        <v>39.698</v>
      </c>
      <c r="E38" s="45">
        <f>'Sparte Grün'!E35+'Friedhöfe+Krema'!E34+St.Reinigung!E35+Kundenmanagem!E30+Deponie!E34+St.Entwässerung!E33+Zentr.Dienste!E32+Standortkonzept!E30</f>
        <v>176.024</v>
      </c>
      <c r="F38" s="45">
        <f>'Sparte Grün'!F35+'Friedhöfe+Krema'!F34+St.Reinigung!F35+Kundenmanagem!F30+Deponie!F34+St.Entwässerung!F33+Zentr.Dienste!F32+Standortkonzept!F30</f>
        <v>171.11599999999999</v>
      </c>
      <c r="G38" s="245">
        <f>'Sparte Grün'!G35+'Friedhöfe+Krema'!G34+St.Reinigung!G35+Kundenmanagem!G30+Deponie!G34+St.Entwässerung!G33+Zentr.Dienste!G32+Standortkonzept!G30</f>
        <v>44.006</v>
      </c>
      <c r="H38" s="245">
        <f>'Sparte Grün'!H35+'Friedhöfe+Krema'!H34+St.Reinigung!H35+Kundenmanagem!H30+Deponie!H34+St.Entwässerung!H33+Zentr.Dienste!H32+Standortkonzept!H30</f>
        <v>88.012</v>
      </c>
      <c r="I38" s="245">
        <f>'Sparte Grün'!I35+'Friedhöfe+Krema'!I34+St.Reinigung!I35+Kundenmanagem!I30+Deponie!I34+St.Entwässerung!I33+Zentr.Dienste!I32+Standortkonzept!I30</f>
        <v>132.01800000000003</v>
      </c>
      <c r="J38" s="45">
        <f>'Sparte Grün'!J35+'Friedhöfe+Krema'!J34+St.Reinigung!J35+Kundenmanagem!J30+Deponie!J34+St.Entwässerung!J33+Zentr.Dienste!J32+Standortkonzept!J30</f>
        <v>176.024</v>
      </c>
      <c r="K38" s="45">
        <f>'Sparte Grün'!K35+'Friedhöfe+Krema'!K34+St.Reinigung!K35+Kundenmanagem!K30+Deponie!K34+St.Entwässerung!K33+Zentr.Dienste!K32+Standortkonzept!K30</f>
        <v>176.024</v>
      </c>
      <c r="L38" s="45">
        <f>'Sparte Grün'!L35+'Friedhöfe+Krema'!L34+St.Reinigung!L35+Kundenmanagem!L30+Deponie!L34+St.Entwässerung!L33+Zentr.Dienste!L32+Standortkonzept!L30</f>
        <v>176.024</v>
      </c>
      <c r="M38" s="44">
        <f>'Sparte Grün'!M35+'Friedhöfe+Krema'!M34+St.Reinigung!M35+Kundenmanagem!M30+Deponie!M34+St.Entwässerung!M33+Zentr.Dienste!M32+Standortkonzept!M30</f>
        <v>176.024</v>
      </c>
      <c r="N38" s="15"/>
      <c r="O38" s="16"/>
    </row>
    <row r="39" spans="1:15" ht="17.100000000000001" customHeight="1">
      <c r="A39" s="35">
        <v>21</v>
      </c>
      <c r="B39" s="45" t="s">
        <v>57</v>
      </c>
      <c r="C39" s="45">
        <f>'Sparte Grün'!C36+'Friedhöfe+Krema'!C35+St.Reinigung!C36+Kundenmanagem!C31+Deponie!C35+St.Entwässerung!C34+Zentr.Dienste!C33+Standortkonzept!C31</f>
        <v>157.42199999999997</v>
      </c>
      <c r="D39" s="45">
        <f>'Sparte Grün'!D36+'Friedhöfe+Krema'!D35+St.Reinigung!D36+Kundenmanagem!D31+Deponie!D35+St.Entwässerung!D34+Zentr.Dienste!D33+Standortkonzept!D31</f>
        <v>178.86099999999999</v>
      </c>
      <c r="E39" s="45">
        <f>'Sparte Grün'!E36+'Friedhöfe+Krema'!E35+St.Reinigung!E36+Kundenmanagem!E31+Deponie!E35+St.Entwässerung!E34+Zentr.Dienste!E33+Standortkonzept!E31</f>
        <v>120.43865000000001</v>
      </c>
      <c r="F39" s="45">
        <f>'Sparte Grün'!F36+'Friedhöfe+Krema'!F35+St.Reinigung!F36+Kundenmanagem!F31+Deponie!F35+St.Entwässerung!F34+Zentr.Dienste!F33+Standortkonzept!F31</f>
        <v>97.331000000000017</v>
      </c>
      <c r="G39" s="245">
        <f>'Sparte Grün'!G36+'Friedhöfe+Krema'!G35+St.Reinigung!G36+Kundenmanagem!G31+Deponie!G35+St.Entwässerung!G34+Zentr.Dienste!G33+Standortkonzept!G31</f>
        <v>50.9375</v>
      </c>
      <c r="H39" s="245">
        <f>'Sparte Grün'!H36+'Friedhöfe+Krema'!H35+St.Reinigung!H36+Kundenmanagem!H31+Deponie!H35+St.Entwässerung!H34+Zentr.Dienste!H33+Standortkonzept!H31</f>
        <v>101.875</v>
      </c>
      <c r="I39" s="245">
        <f>'Sparte Grün'!I36+'Friedhöfe+Krema'!I35+St.Reinigung!I36+Kundenmanagem!I31+Deponie!I35+St.Entwässerung!I34+Zentr.Dienste!I33+Standortkonzept!I31</f>
        <v>152.8125</v>
      </c>
      <c r="J39" s="45">
        <f>'Sparte Grün'!J36+'Friedhöfe+Krema'!J35+St.Reinigung!J36+Kundenmanagem!J31+Deponie!J35+St.Entwässerung!J34+Zentr.Dienste!J33+Standortkonzept!J31</f>
        <v>203.75</v>
      </c>
      <c r="K39" s="45">
        <f>'Sparte Grün'!K36+'Friedhöfe+Krema'!K35+St.Reinigung!K36+Kundenmanagem!K31+Deponie!K35+St.Entwässerung!K34+Zentr.Dienste!K33+Standortkonzept!K31</f>
        <v>203.75</v>
      </c>
      <c r="L39" s="45">
        <f>'Sparte Grün'!L36+'Friedhöfe+Krema'!L35+St.Reinigung!L36+Kundenmanagem!L31+Deponie!L35+St.Entwässerung!L34+Zentr.Dienste!L33+Standortkonzept!L31</f>
        <v>200.75</v>
      </c>
      <c r="M39" s="44">
        <f>'Sparte Grün'!M36+'Friedhöfe+Krema'!M35+St.Reinigung!M36+Kundenmanagem!M31+Deponie!M35+St.Entwässerung!M34+Zentr.Dienste!M33+Standortkonzept!M31</f>
        <v>198.75</v>
      </c>
      <c r="N39" s="15"/>
      <c r="O39" s="16"/>
    </row>
    <row r="40" spans="1:15" ht="17.100000000000001" customHeight="1">
      <c r="A40" s="63">
        <v>22</v>
      </c>
      <c r="B40" s="64" t="s">
        <v>58</v>
      </c>
      <c r="C40" s="64">
        <f t="shared" ref="C40:M40" si="8">C37+C38-C39</f>
        <v>1598.0200600000189</v>
      </c>
      <c r="D40" s="64">
        <f t="shared" si="8"/>
        <v>18228.285999999967</v>
      </c>
      <c r="E40" s="64">
        <f t="shared" si="8"/>
        <v>5788.127879228744</v>
      </c>
      <c r="F40" s="64">
        <f t="shared" si="8"/>
        <v>-3232.4099999999908</v>
      </c>
      <c r="G40" s="72">
        <f t="shared" si="8"/>
        <v>2382.9899543218739</v>
      </c>
      <c r="H40" s="72">
        <f t="shared" si="8"/>
        <v>4765.9799086437479</v>
      </c>
      <c r="I40" s="72">
        <f t="shared" si="8"/>
        <v>7148.9698629656141</v>
      </c>
      <c r="J40" s="66">
        <f t="shared" si="8"/>
        <v>10126.322817287479</v>
      </c>
      <c r="K40" s="66">
        <f t="shared" si="8"/>
        <v>4999.8227909242105</v>
      </c>
      <c r="L40" s="67">
        <f t="shared" si="8"/>
        <v>4825.3226672924775</v>
      </c>
      <c r="M40" s="66">
        <f t="shared" si="8"/>
        <v>3177.4102120960429</v>
      </c>
      <c r="N40" s="15"/>
      <c r="O40" s="16"/>
    </row>
    <row r="41" spans="1:15" ht="11.25" customHeight="1">
      <c r="A41" s="17" t="s">
        <v>59</v>
      </c>
    </row>
    <row r="42" spans="1:15" s="18" customFormat="1" ht="36">
      <c r="B42" s="246" t="s">
        <v>155</v>
      </c>
      <c r="E42" s="19">
        <v>-1366</v>
      </c>
      <c r="J42" s="19">
        <v>-6760</v>
      </c>
      <c r="K42" s="19">
        <v>348.55240000000003</v>
      </c>
      <c r="L42" s="19">
        <v>-856</v>
      </c>
      <c r="M42" s="19">
        <v>-547</v>
      </c>
    </row>
    <row r="43" spans="1:15" s="20" customFormat="1" ht="17.25" customHeight="1">
      <c r="B43" s="21" t="s">
        <v>60</v>
      </c>
      <c r="C43" s="22"/>
      <c r="D43" s="22"/>
      <c r="E43" s="22">
        <f>SUM(E40:E42)</f>
        <v>4422.127879228744</v>
      </c>
      <c r="F43" s="21"/>
      <c r="G43" s="21"/>
      <c r="H43" s="21"/>
      <c r="I43" s="21"/>
      <c r="J43" s="22">
        <f>SUM(J40:J42)</f>
        <v>3366.3228172874788</v>
      </c>
      <c r="K43" s="22">
        <f t="shared" ref="K43:M43" si="9">SUM(K40:K42)</f>
        <v>5348.375190924211</v>
      </c>
      <c r="L43" s="22">
        <f t="shared" si="9"/>
        <v>3969.3226672924775</v>
      </c>
      <c r="M43" s="22">
        <f t="shared" si="9"/>
        <v>2630.4102120960429</v>
      </c>
    </row>
  </sheetData>
  <mergeCells count="13">
    <mergeCell ref="B10:M10"/>
    <mergeCell ref="A1:E3"/>
    <mergeCell ref="J1:M3"/>
    <mergeCell ref="A4:M4"/>
    <mergeCell ref="A5:B5"/>
    <mergeCell ref="C5:M5"/>
    <mergeCell ref="A6:B6"/>
    <mergeCell ref="G6:M6"/>
    <mergeCell ref="A7:B7"/>
    <mergeCell ref="C7:F7"/>
    <mergeCell ref="G7:K7"/>
    <mergeCell ref="L7:M7"/>
    <mergeCell ref="A8:B8"/>
  </mergeCells>
  <conditionalFormatting sqref="C21:M21">
    <cfRule type="cellIs" dxfId="6" priority="2" operator="equal">
      <formula>0</formula>
    </cfRule>
  </conditionalFormatting>
  <conditionalFormatting sqref="C29:M30">
    <cfRule type="cellIs" dxfId="5" priority="1" operator="equal">
      <formula>0</formula>
    </cfRule>
  </conditionalFormatting>
  <pageMargins left="0.51181102362204722" right="0.70866141732283472" top="0.39370078740157483" bottom="0.19685039370078741" header="0.31496062992125984" footer="0.31496062992125984"/>
  <pageSetup paperSize="9" scale="70" orientation="landscape" r:id="rId1"/>
  <headerFooter>
    <oddHeader xml:space="preserve">&amp;RBlatt 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Layout" zoomScale="70" zoomScaleNormal="100" zoomScalePageLayoutView="70" workbookViewId="0">
      <selection activeCell="E28" sqref="E28"/>
    </sheetView>
  </sheetViews>
  <sheetFormatPr baseColWidth="10" defaultRowHeight="15"/>
  <cols>
    <col min="1" max="1" width="6.28515625" customWidth="1"/>
    <col min="2" max="2" width="30.28515625" customWidth="1"/>
    <col min="3" max="13" width="12.7109375" customWidth="1"/>
    <col min="14" max="14" width="6.85546875" customWidth="1"/>
  </cols>
  <sheetData>
    <row r="1" spans="1:14" ht="15" customHeight="1">
      <c r="A1" s="470" t="s">
        <v>0</v>
      </c>
      <c r="B1" s="470"/>
      <c r="C1" s="470"/>
      <c r="D1" s="470"/>
      <c r="E1" s="471"/>
      <c r="F1" s="500"/>
      <c r="G1" s="500"/>
      <c r="H1" s="500"/>
      <c r="I1" s="500"/>
      <c r="J1" s="500"/>
      <c r="K1" s="502" t="s">
        <v>1</v>
      </c>
      <c r="L1" s="502"/>
      <c r="M1" s="502"/>
      <c r="N1" s="502"/>
    </row>
    <row r="2" spans="1:14">
      <c r="A2" s="470"/>
      <c r="B2" s="470"/>
      <c r="C2" s="470"/>
      <c r="D2" s="470"/>
      <c r="E2" s="471"/>
      <c r="F2" s="500"/>
      <c r="G2" s="500"/>
      <c r="H2" s="500"/>
      <c r="I2" s="500"/>
      <c r="J2" s="500"/>
      <c r="K2" s="502"/>
      <c r="L2" s="502"/>
      <c r="M2" s="502"/>
      <c r="N2" s="502"/>
    </row>
    <row r="3" spans="1:14">
      <c r="A3" s="472"/>
      <c r="B3" s="472"/>
      <c r="C3" s="472"/>
      <c r="D3" s="472"/>
      <c r="E3" s="473"/>
      <c r="F3" s="501"/>
      <c r="G3" s="501"/>
      <c r="H3" s="501"/>
      <c r="I3" s="501"/>
      <c r="J3" s="501"/>
      <c r="K3" s="502"/>
      <c r="L3" s="502"/>
      <c r="M3" s="502"/>
      <c r="N3" s="502"/>
    </row>
    <row r="4" spans="1:14" ht="18">
      <c r="A4" s="477" t="s">
        <v>2</v>
      </c>
      <c r="B4" s="478"/>
      <c r="C4" s="478"/>
      <c r="D4" s="478"/>
      <c r="E4" s="478"/>
      <c r="F4" s="478"/>
      <c r="G4" s="478"/>
      <c r="H4" s="478"/>
      <c r="I4" s="478"/>
      <c r="J4" s="478"/>
      <c r="K4" s="478"/>
      <c r="L4" s="478"/>
      <c r="M4" s="479"/>
    </row>
    <row r="5" spans="1:14" ht="15.75">
      <c r="A5" s="480" t="s">
        <v>3</v>
      </c>
      <c r="B5" s="481"/>
      <c r="C5" s="482" t="s">
        <v>4</v>
      </c>
      <c r="D5" s="482"/>
      <c r="E5" s="482"/>
      <c r="F5" s="482"/>
      <c r="G5" s="482"/>
      <c r="H5" s="482"/>
      <c r="I5" s="482"/>
      <c r="J5" s="483"/>
      <c r="K5" s="483"/>
      <c r="L5" s="483"/>
      <c r="M5" s="484"/>
    </row>
    <row r="6" spans="1:14">
      <c r="A6" s="480" t="s">
        <v>5</v>
      </c>
      <c r="B6" s="481"/>
      <c r="C6" s="24"/>
      <c r="D6" s="24"/>
      <c r="E6" s="24"/>
      <c r="F6" s="24"/>
      <c r="G6" s="485" t="s">
        <v>6</v>
      </c>
      <c r="H6" s="486"/>
      <c r="I6" s="486"/>
      <c r="J6" s="486"/>
      <c r="K6" s="486"/>
      <c r="L6" s="486"/>
      <c r="M6" s="487"/>
    </row>
    <row r="7" spans="1:14">
      <c r="A7" s="488"/>
      <c r="B7" s="489"/>
      <c r="C7" s="490" t="s">
        <v>61</v>
      </c>
      <c r="D7" s="491"/>
      <c r="E7" s="491"/>
      <c r="F7" s="492"/>
      <c r="G7" s="493" t="s">
        <v>8</v>
      </c>
      <c r="H7" s="494"/>
      <c r="I7" s="495"/>
      <c r="J7" s="495"/>
      <c r="K7" s="496"/>
      <c r="L7" s="493" t="s">
        <v>9</v>
      </c>
      <c r="M7" s="497"/>
    </row>
    <row r="8" spans="1:14">
      <c r="A8" s="498" t="s">
        <v>10</v>
      </c>
      <c r="B8" s="499"/>
      <c r="C8" s="26" t="s">
        <v>11</v>
      </c>
      <c r="D8" s="26" t="s">
        <v>11</v>
      </c>
      <c r="E8" s="26" t="s">
        <v>12</v>
      </c>
      <c r="F8" s="26" t="s">
        <v>13</v>
      </c>
      <c r="G8" s="27" t="s">
        <v>14</v>
      </c>
      <c r="H8" s="27" t="s">
        <v>15</v>
      </c>
      <c r="I8" s="27" t="s">
        <v>16</v>
      </c>
      <c r="J8" s="27" t="s">
        <v>17</v>
      </c>
      <c r="K8" s="26" t="s">
        <v>18</v>
      </c>
      <c r="L8" s="28" t="s">
        <v>18</v>
      </c>
      <c r="M8" s="29" t="s">
        <v>18</v>
      </c>
    </row>
    <row r="9" spans="1:14">
      <c r="A9" s="30"/>
      <c r="B9" s="10"/>
      <c r="C9" s="31">
        <v>2015</v>
      </c>
      <c r="D9" s="31">
        <v>2016</v>
      </c>
      <c r="E9" s="31">
        <v>2017</v>
      </c>
      <c r="F9" s="31">
        <v>2017</v>
      </c>
      <c r="G9" s="32">
        <v>2018</v>
      </c>
      <c r="H9" s="32">
        <v>2018</v>
      </c>
      <c r="I9" s="32">
        <v>2018</v>
      </c>
      <c r="J9" s="32">
        <v>2018</v>
      </c>
      <c r="K9" s="33">
        <v>2019</v>
      </c>
      <c r="L9" s="11">
        <v>2020</v>
      </c>
      <c r="M9" s="33">
        <v>2021</v>
      </c>
    </row>
    <row r="10" spans="1:14">
      <c r="A10" s="34" t="s">
        <v>19</v>
      </c>
      <c r="B10" s="467" t="s">
        <v>20</v>
      </c>
      <c r="C10" s="468"/>
      <c r="D10" s="468"/>
      <c r="E10" s="468"/>
      <c r="F10" s="468"/>
      <c r="G10" s="468"/>
      <c r="H10" s="468"/>
      <c r="I10" s="468"/>
      <c r="J10" s="468"/>
      <c r="K10" s="468"/>
      <c r="L10" s="468"/>
      <c r="M10" s="469"/>
    </row>
    <row r="11" spans="1:14" ht="17.100000000000001" customHeight="1">
      <c r="A11" s="35">
        <v>1</v>
      </c>
      <c r="B11" s="36" t="s">
        <v>21</v>
      </c>
      <c r="C11" s="36">
        <f>'Planung+Bau'!C11+Grünunterhaltg!C11+'Behofgri+Fläch+Gebä'!C11</f>
        <v>17064.445</v>
      </c>
      <c r="D11" s="36">
        <f>'Planung+Bau'!D11+Grünunterhaltg!D11+'Behofgri+Fläch+Gebä'!D11</f>
        <v>19645.841</v>
      </c>
      <c r="E11" s="36">
        <f>'Planung+Bau'!E11+Grünunterhaltg!E11+'Behofgri+Fläch+Gebä'!E11</f>
        <v>21876.804</v>
      </c>
      <c r="F11" s="36">
        <f>'Planung+Bau'!F11+Grünunterhaltg!F11+'Behofgri+Fläch+Gebä'!F11</f>
        <v>19830.994000000002</v>
      </c>
      <c r="G11" s="244">
        <f>'Planung+Bau'!G11+Grünunterhaltg!G11+'Behofgri+Fläch+Gebä'!G11</f>
        <v>5263.25</v>
      </c>
      <c r="H11" s="244">
        <f>'Planung+Bau'!H11+Grünunterhaltg!H11+'Behofgri+Fläch+Gebä'!H11</f>
        <v>10526.5</v>
      </c>
      <c r="I11" s="244">
        <f>'Planung+Bau'!I11+Grünunterhaltg!I11+'Behofgri+Fläch+Gebä'!I11</f>
        <v>15789.75</v>
      </c>
      <c r="J11" s="36">
        <f>'Planung+Bau'!J11+Grünunterhaltg!J11+'Behofgri+Fläch+Gebä'!J11</f>
        <v>21053</v>
      </c>
      <c r="K11" s="36">
        <f>'Planung+Bau'!K11+Grünunterhaltg!K11+'Behofgri+Fläch+Gebä'!K11</f>
        <v>21011</v>
      </c>
      <c r="L11" s="36">
        <f>'Planung+Bau'!L11+Grünunterhaltg!L11+'Behofgri+Fläch+Gebä'!L11</f>
        <v>21073</v>
      </c>
      <c r="M11" s="38">
        <f>'Planung+Bau'!M11+Grünunterhaltg!M11+'Behofgri+Fläch+Gebä'!M11</f>
        <v>21195</v>
      </c>
    </row>
    <row r="12" spans="1:14" s="12" customFormat="1" ht="17.100000000000001" customHeight="1">
      <c r="A12" s="39" t="s">
        <v>22</v>
      </c>
      <c r="B12" s="40" t="s">
        <v>23</v>
      </c>
      <c r="C12" s="41">
        <f>'Planung+Bau'!C12+Grünunterhaltg!C12</f>
        <v>12015.085999999999</v>
      </c>
      <c r="D12" s="41">
        <f>'Planung+Bau'!D12+Grünunterhaltg!D12</f>
        <v>14133.28</v>
      </c>
      <c r="E12" s="41">
        <f>'Planung+Bau'!E12+Grünunterhaltg!E12</f>
        <v>16820.48</v>
      </c>
      <c r="F12" s="41">
        <f>'Planung+Bau'!F12+Grünunterhaltg!F12</f>
        <v>15398.257</v>
      </c>
      <c r="G12" s="41">
        <f>'Planung+Bau'!G12+Grünunterhaltg!G12</f>
        <v>3869.5</v>
      </c>
      <c r="H12" s="41">
        <f>'Planung+Bau'!H12+Grünunterhaltg!H12</f>
        <v>7739</v>
      </c>
      <c r="I12" s="41">
        <f>'Planung+Bau'!I12+Grünunterhaltg!I12</f>
        <v>11608.5</v>
      </c>
      <c r="J12" s="41">
        <f>'Planung+Bau'!J12+Grünunterhaltg!J12</f>
        <v>15478</v>
      </c>
      <c r="K12" s="41">
        <f>'Planung+Bau'!K12+Grünunterhaltg!K12</f>
        <v>15636</v>
      </c>
      <c r="L12" s="41">
        <f>'Planung+Bau'!L12+Grünunterhaltg!L12</f>
        <v>15798</v>
      </c>
      <c r="M12" s="42">
        <f>'Planung+Bau'!M12+Grünunterhaltg!M12</f>
        <v>15960</v>
      </c>
    </row>
    <row r="13" spans="1:14" s="12" customFormat="1" ht="17.100000000000001" customHeight="1">
      <c r="A13" s="43" t="s">
        <v>24</v>
      </c>
      <c r="B13" s="40" t="s">
        <v>25</v>
      </c>
      <c r="C13" s="41">
        <f>Grünunterhaltg!C13</f>
        <v>2681.1529999999998</v>
      </c>
      <c r="D13" s="41">
        <f>Grünunterhaltg!D13</f>
        <v>2651.3670000000002</v>
      </c>
      <c r="E13" s="41">
        <f>Grünunterhaltg!E13</f>
        <v>2711.0360000000001</v>
      </c>
      <c r="F13" s="41">
        <f>Grünunterhaltg!F13</f>
        <v>2681.152</v>
      </c>
      <c r="G13" s="41">
        <f>Grünunterhaltg!G13</f>
        <v>677.75</v>
      </c>
      <c r="H13" s="41">
        <f>Grünunterhaltg!H13</f>
        <v>1355.5</v>
      </c>
      <c r="I13" s="41">
        <f>Grünunterhaltg!I13</f>
        <v>2033.25</v>
      </c>
      <c r="J13" s="41">
        <f>Grünunterhaltg!J13</f>
        <v>2711</v>
      </c>
      <c r="K13" s="41">
        <f>Grünunterhaltg!K13</f>
        <v>2711</v>
      </c>
      <c r="L13" s="41">
        <f>Grünunterhaltg!L13</f>
        <v>2711</v>
      </c>
      <c r="M13" s="42">
        <f>Grünunterhaltg!M13</f>
        <v>2711</v>
      </c>
    </row>
    <row r="14" spans="1:14" s="12" customFormat="1" ht="17.100000000000001" customHeight="1">
      <c r="A14" s="43" t="s">
        <v>26</v>
      </c>
      <c r="B14" s="40" t="s">
        <v>33</v>
      </c>
      <c r="C14" s="41">
        <f>Grünunterhaltg!C14+'Behofgri+Fläch+Gebä'!C12</f>
        <v>258.36099999999999</v>
      </c>
      <c r="D14" s="41">
        <f>Grünunterhaltg!D14+'Behofgri+Fläch+Gebä'!D12</f>
        <v>213.99299999999999</v>
      </c>
      <c r="E14" s="41">
        <f>Grünunterhaltg!E14+'Behofgri+Fläch+Gebä'!E12</f>
        <v>158.83799999999999</v>
      </c>
      <c r="F14" s="41">
        <f>Grünunterhaltg!F14+'Behofgri+Fläch+Gebä'!F12</f>
        <v>231.95500000000001</v>
      </c>
      <c r="G14" s="41">
        <f>Grünunterhaltg!G14+'Behofgri+Fläch+Gebä'!G12</f>
        <v>41</v>
      </c>
      <c r="H14" s="41">
        <f>Grünunterhaltg!H14+'Behofgri+Fläch+Gebä'!H12</f>
        <v>82</v>
      </c>
      <c r="I14" s="41">
        <f>Grünunterhaltg!I14+'Behofgri+Fläch+Gebä'!I12</f>
        <v>123</v>
      </c>
      <c r="J14" s="41">
        <f>Grünunterhaltg!J14+'Behofgri+Fläch+Gebä'!J12</f>
        <v>164</v>
      </c>
      <c r="K14" s="41">
        <f>Grünunterhaltg!K14+'Behofgri+Fläch+Gebä'!K12</f>
        <v>164</v>
      </c>
      <c r="L14" s="41">
        <f>Grünunterhaltg!L14+'Behofgri+Fläch+Gebä'!L12</f>
        <v>164</v>
      </c>
      <c r="M14" s="42">
        <f>Grünunterhaltg!M14+'Behofgri+Fläch+Gebä'!M12</f>
        <v>164</v>
      </c>
    </row>
    <row r="15" spans="1:14" s="12" customFormat="1" ht="17.100000000000001" customHeight="1">
      <c r="A15" s="43" t="s">
        <v>28</v>
      </c>
      <c r="B15" s="40" t="s">
        <v>35</v>
      </c>
      <c r="C15" s="41">
        <f>'Planung+Bau'!C13+Grünunterhaltg!C15+'Behofgri+Fläch+Gebä'!C13</f>
        <v>739.66200000000003</v>
      </c>
      <c r="D15" s="41">
        <f>'Planung+Bau'!D13+Grünunterhaltg!D15+'Behofgri+Fläch+Gebä'!D13</f>
        <v>619.45499999999993</v>
      </c>
      <c r="E15" s="41">
        <f>'Planung+Bau'!E13+Grünunterhaltg!E15+'Behofgri+Fläch+Gebä'!E13</f>
        <v>765</v>
      </c>
      <c r="F15" s="41">
        <f>'Planung+Bau'!F13+Grünunterhaltg!F15+'Behofgri+Fläch+Gebä'!F13</f>
        <v>356</v>
      </c>
      <c r="G15" s="41">
        <f>'Planung+Bau'!G13+Grünunterhaltg!G15+'Behofgri+Fläch+Gebä'!G13</f>
        <v>198.75</v>
      </c>
      <c r="H15" s="41">
        <f>'Planung+Bau'!H13+Grünunterhaltg!H15+'Behofgri+Fläch+Gebä'!H13</f>
        <v>397.5</v>
      </c>
      <c r="I15" s="41">
        <f>'Planung+Bau'!I13+Grünunterhaltg!I15+'Behofgri+Fläch+Gebä'!I13</f>
        <v>596.25</v>
      </c>
      <c r="J15" s="41">
        <f>'Planung+Bau'!J13+Grünunterhaltg!J15+'Behofgri+Fläch+Gebä'!J13</f>
        <v>795</v>
      </c>
      <c r="K15" s="41">
        <f>'Planung+Bau'!K13+Grünunterhaltg!K15+'Behofgri+Fläch+Gebä'!K13</f>
        <v>745</v>
      </c>
      <c r="L15" s="41">
        <f>'Planung+Bau'!L13+Grünunterhaltg!L15+'Behofgri+Fläch+Gebä'!L13</f>
        <v>695</v>
      </c>
      <c r="M15" s="42">
        <f>'Planung+Bau'!M13+Grünunterhaltg!M15+'Behofgri+Fläch+Gebä'!M13</f>
        <v>695</v>
      </c>
    </row>
    <row r="16" spans="1:14" s="12" customFormat="1" ht="17.100000000000001" customHeight="1">
      <c r="A16" s="43" t="s">
        <v>30</v>
      </c>
      <c r="B16" s="40" t="s">
        <v>37</v>
      </c>
      <c r="C16" s="41">
        <f>'Planung+Bau'!C14+Grünunterhaltg!C16+'Behofgri+Fläch+Gebä'!C14</f>
        <v>1370.183</v>
      </c>
      <c r="D16" s="41">
        <v>2027.7460000000001</v>
      </c>
      <c r="E16" s="41">
        <v>1421.45</v>
      </c>
      <c r="F16" s="41">
        <v>1163.6299999999999</v>
      </c>
      <c r="G16" s="41">
        <v>476.25</v>
      </c>
      <c r="H16" s="41">
        <v>952.5</v>
      </c>
      <c r="I16" s="41">
        <v>1428.75</v>
      </c>
      <c r="J16" s="41">
        <v>1905</v>
      </c>
      <c r="K16" s="41">
        <v>1755</v>
      </c>
      <c r="L16" s="41">
        <v>1705</v>
      </c>
      <c r="M16" s="42">
        <v>1665</v>
      </c>
    </row>
    <row r="17" spans="1:13" ht="17.100000000000001" customHeight="1">
      <c r="A17" s="35">
        <v>2</v>
      </c>
      <c r="B17" s="44" t="s">
        <v>38</v>
      </c>
      <c r="C17" s="45">
        <f>'Planung+Bau'!C15+Grünunterhaltg!C19+'Behofgri+Fläch+Gebä'!C17</f>
        <v>875</v>
      </c>
      <c r="D17" s="391">
        <f>'Planung+Bau'!D15+Grünunterhaltg!D19+'Behofgri+Fläch+Gebä'!D17</f>
        <v>0</v>
      </c>
      <c r="E17" s="391">
        <f>'Planung+Bau'!E15+Grünunterhaltg!E19+'Behofgri+Fläch+Gebä'!E17</f>
        <v>0</v>
      </c>
      <c r="F17" s="391">
        <f>'Planung+Bau'!F15+Grünunterhaltg!F19+'Behofgri+Fläch+Gebä'!F17</f>
        <v>0</v>
      </c>
      <c r="G17" s="392">
        <f>'Planung+Bau'!G15+Grünunterhaltg!G19+'Behofgri+Fläch+Gebä'!G17</f>
        <v>0</v>
      </c>
      <c r="H17" s="392">
        <f>'Planung+Bau'!H15+Grünunterhaltg!H19+'Behofgri+Fläch+Gebä'!H17</f>
        <v>0</v>
      </c>
      <c r="I17" s="392">
        <f>'Planung+Bau'!I15+Grünunterhaltg!I19+'Behofgri+Fläch+Gebä'!I17</f>
        <v>0</v>
      </c>
      <c r="J17" s="391">
        <f>'Planung+Bau'!J15+Grünunterhaltg!J19+'Behofgri+Fläch+Gebä'!J17</f>
        <v>0</v>
      </c>
      <c r="K17" s="391">
        <f>'Planung+Bau'!K15+Grünunterhaltg!K19+'Behofgri+Fläch+Gebä'!K17</f>
        <v>0</v>
      </c>
      <c r="L17" s="391">
        <f>'Planung+Bau'!L15+Grünunterhaltg!L19+'Behofgri+Fläch+Gebä'!L17</f>
        <v>0</v>
      </c>
      <c r="M17" s="393">
        <f>'Planung+Bau'!M15+Grünunterhaltg!M19+'Behofgri+Fläch+Gebä'!M17</f>
        <v>0</v>
      </c>
    </row>
    <row r="18" spans="1:13" ht="17.100000000000001" customHeight="1">
      <c r="A18" s="35">
        <v>3</v>
      </c>
      <c r="B18" s="44" t="s">
        <v>39</v>
      </c>
      <c r="C18" s="45">
        <f>'Planung+Bau'!C16+Grünunterhaltg!C20+'Behofgri+Fläch+Gebä'!C18</f>
        <v>1.0999999999999999E-2</v>
      </c>
      <c r="D18" s="45">
        <f>'Planung+Bau'!D16+Grünunterhaltg!D20+'Behofgri+Fläch+Gebä'!D18</f>
        <v>-5.8490000000000002</v>
      </c>
      <c r="E18" s="391">
        <f>'Planung+Bau'!E16+Grünunterhaltg!E20+'Behofgri+Fläch+Gebä'!E18</f>
        <v>0</v>
      </c>
      <c r="F18" s="391">
        <f>'Planung+Bau'!F16+Grünunterhaltg!F20+'Behofgri+Fläch+Gebä'!F18</f>
        <v>0</v>
      </c>
      <c r="G18" s="391">
        <f>'Planung+Bau'!G16+Grünunterhaltg!G20+'Behofgri+Fläch+Gebä'!G18</f>
        <v>0</v>
      </c>
      <c r="H18" s="391">
        <f>'Planung+Bau'!H16+Grünunterhaltg!H20+'Behofgri+Fläch+Gebä'!H18</f>
        <v>0</v>
      </c>
      <c r="I18" s="391">
        <f>'Planung+Bau'!I16+Grünunterhaltg!I20+'Behofgri+Fläch+Gebä'!I18</f>
        <v>0</v>
      </c>
      <c r="J18" s="391">
        <f>'Planung+Bau'!J16+Grünunterhaltg!J20+'Behofgri+Fläch+Gebä'!J18</f>
        <v>0</v>
      </c>
      <c r="K18" s="391">
        <f>'Planung+Bau'!K16+Grünunterhaltg!K20+'Behofgri+Fläch+Gebä'!K18</f>
        <v>0</v>
      </c>
      <c r="L18" s="391">
        <f>'Planung+Bau'!L16+Grünunterhaltg!L20+'Behofgri+Fläch+Gebä'!L18</f>
        <v>0</v>
      </c>
      <c r="M18" s="393">
        <f>'Planung+Bau'!M16+Grünunterhaltg!M20+'Behofgri+Fläch+Gebä'!M18</f>
        <v>0</v>
      </c>
    </row>
    <row r="19" spans="1:13" ht="17.100000000000001" customHeight="1">
      <c r="A19" s="35">
        <v>4</v>
      </c>
      <c r="B19" s="45" t="s">
        <v>40</v>
      </c>
      <c r="C19" s="45">
        <f>'Planung+Bau'!C17+Grünunterhaltg!C21+'Behofgri+Fläch+Gebä'!C19</f>
        <v>198.946</v>
      </c>
      <c r="D19" s="45">
        <f>'Planung+Bau'!D17+Grünunterhaltg!D21+'Behofgri+Fläch+Gebä'!D19</f>
        <v>203.40800000000002</v>
      </c>
      <c r="E19" s="45">
        <f>'Planung+Bau'!E17+Grünunterhaltg!E21+'Behofgri+Fläch+Gebä'!E19</f>
        <v>160.25400000000002</v>
      </c>
      <c r="F19" s="45">
        <f>'Planung+Bau'!F17+Grünunterhaltg!F21+'Behofgri+Fläch+Gebä'!F19</f>
        <v>137.68100000000001</v>
      </c>
      <c r="G19" s="245">
        <f>'Planung+Bau'!G17+Grünunterhaltg!G21+'Behofgri+Fläch+Gebä'!G19</f>
        <v>43.75</v>
      </c>
      <c r="H19" s="245">
        <f>'Planung+Bau'!H17+Grünunterhaltg!H21+'Behofgri+Fläch+Gebä'!H19</f>
        <v>87.5</v>
      </c>
      <c r="I19" s="245">
        <f>'Planung+Bau'!I17+Grünunterhaltg!I21+'Behofgri+Fläch+Gebä'!I19</f>
        <v>131.25</v>
      </c>
      <c r="J19" s="45">
        <f>'Planung+Bau'!J17+Grünunterhaltg!J21+'Behofgri+Fläch+Gebä'!J19</f>
        <v>175</v>
      </c>
      <c r="K19" s="45">
        <f>'Planung+Bau'!K17+Grünunterhaltg!K21+'Behofgri+Fläch+Gebä'!K19</f>
        <v>175</v>
      </c>
      <c r="L19" s="45">
        <f>'Planung+Bau'!L17+Grünunterhaltg!L21+'Behofgri+Fläch+Gebä'!L19</f>
        <v>175</v>
      </c>
      <c r="M19" s="44">
        <f>'Planung+Bau'!M17+Grünunterhaltg!M21+'Behofgri+Fläch+Gebä'!M19</f>
        <v>175</v>
      </c>
    </row>
    <row r="20" spans="1:13" ht="17.100000000000001" customHeight="1">
      <c r="A20" s="35">
        <v>5</v>
      </c>
      <c r="B20" s="47" t="s">
        <v>41</v>
      </c>
      <c r="C20" s="47">
        <f t="shared" ref="C20:M20" si="0">C11+C17+C18+C19</f>
        <v>18138.401999999998</v>
      </c>
      <c r="D20" s="47">
        <f t="shared" si="0"/>
        <v>19843.400000000001</v>
      </c>
      <c r="E20" s="47">
        <f t="shared" si="0"/>
        <v>22037.058000000001</v>
      </c>
      <c r="F20" s="47">
        <f t="shared" si="0"/>
        <v>19968.675000000003</v>
      </c>
      <c r="G20" s="69">
        <f t="shared" si="0"/>
        <v>5307</v>
      </c>
      <c r="H20" s="69">
        <f t="shared" si="0"/>
        <v>10614</v>
      </c>
      <c r="I20" s="69">
        <f t="shared" si="0"/>
        <v>15921</v>
      </c>
      <c r="J20" s="47">
        <f t="shared" si="0"/>
        <v>21228</v>
      </c>
      <c r="K20" s="47">
        <f t="shared" si="0"/>
        <v>21186</v>
      </c>
      <c r="L20" s="47">
        <f t="shared" si="0"/>
        <v>21248</v>
      </c>
      <c r="M20" s="49">
        <f t="shared" si="0"/>
        <v>21370</v>
      </c>
    </row>
    <row r="21" spans="1:13" ht="17.100000000000001" customHeight="1">
      <c r="A21" s="35">
        <v>6</v>
      </c>
      <c r="B21" s="45" t="s">
        <v>42</v>
      </c>
      <c r="C21" s="45">
        <f>'Planung+Bau'!C19+Grünunterhaltg!C23+'Behofgri+Fläch+Gebä'!C21</f>
        <v>1103.029</v>
      </c>
      <c r="D21" s="45">
        <f>'Planung+Bau'!D19+Grünunterhaltg!D23+'Behofgri+Fläch+Gebä'!D21</f>
        <v>1122.752</v>
      </c>
      <c r="E21" s="45">
        <f>'Planung+Bau'!E19+Grünunterhaltg!E23+'Behofgri+Fläch+Gebä'!E21</f>
        <v>1384.922</v>
      </c>
      <c r="F21" s="45">
        <f>'Planung+Bau'!F19+Grünunterhaltg!F23+'Behofgri+Fläch+Gebä'!F21</f>
        <v>1390.5279999999998</v>
      </c>
      <c r="G21" s="245">
        <f>'Planung+Bau'!G19+Grünunterhaltg!G23+'Behofgri+Fläch+Gebä'!G21</f>
        <v>283</v>
      </c>
      <c r="H21" s="245">
        <f>'Planung+Bau'!H19+Grünunterhaltg!H23+'Behofgri+Fläch+Gebä'!H21</f>
        <v>566</v>
      </c>
      <c r="I21" s="245">
        <f>'Planung+Bau'!I19+Grünunterhaltg!I23+'Behofgri+Fläch+Gebä'!I21</f>
        <v>849</v>
      </c>
      <c r="J21" s="45">
        <f>'Planung+Bau'!J19+Grünunterhaltg!J23+'Behofgri+Fläch+Gebä'!J21</f>
        <v>1132</v>
      </c>
      <c r="K21" s="45">
        <f>'Planung+Bau'!K19+Grünunterhaltg!K23+'Behofgri+Fläch+Gebä'!K21</f>
        <v>1153.32</v>
      </c>
      <c r="L21" s="45">
        <f>'Planung+Bau'!L19+Grünunterhaltg!L23+'Behofgri+Fläch+Gebä'!L21</f>
        <v>1164.8532</v>
      </c>
      <c r="M21" s="44">
        <f>'Planung+Bau'!M19+Grünunterhaltg!M23+'Behofgri+Fläch+Gebä'!M21</f>
        <v>1176.5017320000002</v>
      </c>
    </row>
    <row r="22" spans="1:13" ht="17.100000000000001" customHeight="1">
      <c r="A22" s="35">
        <v>7</v>
      </c>
      <c r="B22" s="45" t="s">
        <v>43</v>
      </c>
      <c r="C22" s="45">
        <f>'Planung+Bau'!C20+Grünunterhaltg!C24+'Behofgri+Fläch+Gebä'!C22</f>
        <v>2611.2980000000002</v>
      </c>
      <c r="D22" s="45">
        <f>'Planung+Bau'!D20+Grünunterhaltg!D24+'Behofgri+Fläch+Gebä'!D22</f>
        <v>3760.0559999999996</v>
      </c>
      <c r="E22" s="45">
        <f>'Planung+Bau'!E20+Grünunterhaltg!E24+'Behofgri+Fläch+Gebä'!E22</f>
        <v>5184.5330000000004</v>
      </c>
      <c r="F22" s="45">
        <f>'Planung+Bau'!F20+Grünunterhaltg!F24+'Behofgri+Fläch+Gebä'!F22</f>
        <v>2799.0120000000002</v>
      </c>
      <c r="G22" s="245">
        <f>'Planung+Bau'!G20+Grünunterhaltg!G24+'Behofgri+Fläch+Gebä'!G22</f>
        <v>1143.75</v>
      </c>
      <c r="H22" s="245">
        <f>'Planung+Bau'!H20+Grünunterhaltg!H24+'Behofgri+Fläch+Gebä'!H22</f>
        <v>2287.5</v>
      </c>
      <c r="I22" s="245">
        <f>'Planung+Bau'!I20+Grünunterhaltg!I24+'Behofgri+Fläch+Gebä'!I22</f>
        <v>3431.25</v>
      </c>
      <c r="J22" s="45">
        <f>'Planung+Bau'!J20+Grünunterhaltg!J24+'Behofgri+Fläch+Gebä'!J22</f>
        <v>4575</v>
      </c>
      <c r="K22" s="45">
        <f>'Planung+Bau'!K20+Grünunterhaltg!K24+'Behofgri+Fläch+Gebä'!K22</f>
        <v>4620.75</v>
      </c>
      <c r="L22" s="45">
        <f>'Planung+Bau'!L20+Grünunterhaltg!L24+'Behofgri+Fläch+Gebä'!L22</f>
        <v>4673.2240000000002</v>
      </c>
      <c r="M22" s="44">
        <f>'Planung+Bau'!M20+Grünunterhaltg!M24+'Behofgri+Fläch+Gebä'!M22</f>
        <v>4714.47624</v>
      </c>
    </row>
    <row r="23" spans="1:13" ht="17.100000000000001" customHeight="1">
      <c r="A23" s="35">
        <v>8</v>
      </c>
      <c r="B23" s="45" t="s">
        <v>44</v>
      </c>
      <c r="C23" s="45">
        <f>'Planung+Bau'!C21+Grünunterhaltg!C25+'Behofgri+Fläch+Gebä'!C23</f>
        <v>11461.684000000001</v>
      </c>
      <c r="D23" s="45">
        <f>'Planung+Bau'!D21+Grünunterhaltg!D25+'Behofgri+Fläch+Gebä'!D23</f>
        <v>12129.915999999999</v>
      </c>
      <c r="E23" s="45">
        <f>'Planung+Bau'!E21+Grünunterhaltg!E25+'Behofgri+Fläch+Gebä'!E23</f>
        <v>12902.49716512697</v>
      </c>
      <c r="F23" s="45">
        <f>'Planung+Bau'!F21+Grünunterhaltg!F25+'Behofgri+Fläch+Gebä'!F23</f>
        <v>12651.852999999999</v>
      </c>
      <c r="G23" s="245">
        <f>'Planung+Bau'!G21+Grünunterhaltg!G25+'Behofgri+Fläch+Gebä'!G23</f>
        <v>3278.2040063898849</v>
      </c>
      <c r="H23" s="245">
        <f>'Planung+Bau'!H21+Grünunterhaltg!H25+'Behofgri+Fläch+Gebä'!H23</f>
        <v>6556.4080127797697</v>
      </c>
      <c r="I23" s="245">
        <f>'Planung+Bau'!I21+Grünunterhaltg!I25+'Behofgri+Fläch+Gebä'!I23</f>
        <v>9834.6120191696555</v>
      </c>
      <c r="J23" s="45">
        <f>'Planung+Bau'!J21+Grünunterhaltg!J25+'Behofgri+Fläch+Gebä'!J23</f>
        <v>13112.816025559539</v>
      </c>
      <c r="K23" s="45">
        <f>'Planung+Bau'!K21+Grünunterhaltg!K25+'Behofgri+Fläch+Gebä'!K23</f>
        <v>12998.24143511791</v>
      </c>
      <c r="L23" s="45">
        <f>'Planung+Bau'!L21+Grünunterhaltg!L25+'Behofgri+Fläch+Gebä'!L23</f>
        <v>12953.95813282511</v>
      </c>
      <c r="M23" s="44">
        <f>'Planung+Bau'!M21+Grünunterhaltg!M25+'Behofgri+Fläch+Gebä'!M23</f>
        <v>13040.305240524471</v>
      </c>
    </row>
    <row r="24" spans="1:13" ht="17.100000000000001" customHeight="1">
      <c r="A24" s="35">
        <v>9</v>
      </c>
      <c r="B24" s="45" t="s">
        <v>45</v>
      </c>
      <c r="C24" s="45">
        <f>'Planung+Bau'!C22+Grünunterhaltg!C26+'Behofgri+Fläch+Gebä'!C24</f>
        <v>1009.728</v>
      </c>
      <c r="D24" s="45">
        <f>'Planung+Bau'!D22+Grünunterhaltg!D26+'Behofgri+Fläch+Gebä'!D24</f>
        <v>1067.883</v>
      </c>
      <c r="E24" s="45">
        <f>'Planung+Bau'!E22+Grünunterhaltg!E26+'Behofgri+Fläch+Gebä'!E24</f>
        <v>1110.876</v>
      </c>
      <c r="F24" s="45">
        <f>'Planung+Bau'!F22+Grünunterhaltg!F26+'Behofgri+Fläch+Gebä'!F24</f>
        <v>1103.9589999999998</v>
      </c>
      <c r="G24" s="245">
        <f>'Planung+Bau'!G22+Grünunterhaltg!G26+'Behofgri+Fläch+Gebä'!G24</f>
        <v>249.75200000000001</v>
      </c>
      <c r="H24" s="245">
        <f>'Planung+Bau'!H22+Grünunterhaltg!H26+'Behofgri+Fläch+Gebä'!H24</f>
        <v>499.50400000000002</v>
      </c>
      <c r="I24" s="245">
        <f>'Planung+Bau'!I22+Grünunterhaltg!I26+'Behofgri+Fläch+Gebä'!I24</f>
        <v>749.25599999999997</v>
      </c>
      <c r="J24" s="45">
        <f>'Planung+Bau'!J22+Grünunterhaltg!J26+'Behofgri+Fläch+Gebä'!J24</f>
        <v>999.00800000000004</v>
      </c>
      <c r="K24" s="45">
        <f>'Planung+Bau'!K22+Grünunterhaltg!K26+'Behofgri+Fläch+Gebä'!K24</f>
        <v>1049.5830000000001</v>
      </c>
      <c r="L24" s="45">
        <f>'Planung+Bau'!L22+Grünunterhaltg!L26+'Behofgri+Fläch+Gebä'!L24</f>
        <v>963.02699999999993</v>
      </c>
      <c r="M24" s="44">
        <f>'Planung+Bau'!M22+Grünunterhaltg!M26+'Behofgri+Fläch+Gebä'!M24</f>
        <v>915.02699999999993</v>
      </c>
    </row>
    <row r="25" spans="1:13" ht="17.100000000000001" customHeight="1">
      <c r="A25" s="35">
        <v>10</v>
      </c>
      <c r="B25" s="45" t="s">
        <v>46</v>
      </c>
      <c r="C25" s="45">
        <f>'Planung+Bau'!C23+Grünunterhaltg!C27+'Behofgri+Fläch+Gebä'!C25</f>
        <v>1494.037</v>
      </c>
      <c r="D25" s="45">
        <f>'Planung+Bau'!D23+Grünunterhaltg!D27+'Behofgri+Fläch+Gebä'!D25</f>
        <v>1534.4050000000002</v>
      </c>
      <c r="E25" s="45">
        <f>'Planung+Bau'!E23+Grünunterhaltg!E27+'Behofgri+Fläch+Gebä'!E25</f>
        <v>1438.633</v>
      </c>
      <c r="F25" s="45">
        <f>'Planung+Bau'!F23+Grünunterhaltg!F27+'Behofgri+Fläch+Gebä'!F25</f>
        <v>1533.48</v>
      </c>
      <c r="G25" s="245">
        <f>'Planung+Bau'!G23+Grünunterhaltg!G27+'Behofgri+Fläch+Gebä'!G25</f>
        <v>352.5</v>
      </c>
      <c r="H25" s="245">
        <f>'Planung+Bau'!H23+Grünunterhaltg!H27+'Behofgri+Fläch+Gebä'!H25</f>
        <v>705</v>
      </c>
      <c r="I25" s="245">
        <f>'Planung+Bau'!I23+Grünunterhaltg!I27+'Behofgri+Fläch+Gebä'!I25</f>
        <v>1057.5</v>
      </c>
      <c r="J25" s="45">
        <f>'Planung+Bau'!J23+Grünunterhaltg!J27+'Behofgri+Fläch+Gebä'!J25</f>
        <v>1410</v>
      </c>
      <c r="K25" s="45">
        <f>'Planung+Bau'!K23+Grünunterhaltg!K27+'Behofgri+Fläch+Gebä'!K25</f>
        <v>1527.2</v>
      </c>
      <c r="L25" s="45">
        <f>'Planung+Bau'!L23+Grünunterhaltg!L27+'Behofgri+Fläch+Gebä'!L25</f>
        <v>1542.472</v>
      </c>
      <c r="M25" s="44">
        <f>'Planung+Bau'!M23+Grünunterhaltg!M27+'Behofgri+Fläch+Gebä'!M25</f>
        <v>1557.8967200000002</v>
      </c>
    </row>
    <row r="26" spans="1:13" s="14" customFormat="1" ht="17.100000000000001" customHeight="1">
      <c r="A26" s="35">
        <v>11</v>
      </c>
      <c r="B26" s="45" t="s">
        <v>47</v>
      </c>
      <c r="C26" s="45">
        <f>'Planung+Bau'!C24+Grünunterhaltg!C28+'Behofgri+Fläch+Gebä'!C26</f>
        <v>1605.7549999999999</v>
      </c>
      <c r="D26" s="45">
        <f>'Planung+Bau'!D24+Grünunterhaltg!D28+'Behofgri+Fläch+Gebä'!D26</f>
        <v>1264.7150000000001</v>
      </c>
      <c r="E26" s="45">
        <f>'Planung+Bau'!E24+Grünunterhaltg!E28+'Behofgri+Fläch+Gebä'!E26</f>
        <v>1095</v>
      </c>
      <c r="F26" s="45">
        <f>'Planung+Bau'!F24+Grünunterhaltg!F28+'Behofgri+Fläch+Gebä'!F26</f>
        <v>1625.2179999999998</v>
      </c>
      <c r="G26" s="245">
        <f>'Planung+Bau'!G24+Grünunterhaltg!G28+'Behofgri+Fläch+Gebä'!G26</f>
        <v>299</v>
      </c>
      <c r="H26" s="245">
        <f>'Planung+Bau'!H24+Grünunterhaltg!H28+'Behofgri+Fläch+Gebä'!H26</f>
        <v>598</v>
      </c>
      <c r="I26" s="245">
        <f>'Planung+Bau'!I24+Grünunterhaltg!I28+'Behofgri+Fläch+Gebä'!I26</f>
        <v>897</v>
      </c>
      <c r="J26" s="45">
        <f>'Planung+Bau'!J24+Grünunterhaltg!J28+'Behofgri+Fläch+Gebä'!J26</f>
        <v>1196</v>
      </c>
      <c r="K26" s="45">
        <f>'Planung+Bau'!K24+Grünunterhaltg!K28+'Behofgri+Fläch+Gebä'!K26</f>
        <v>1034</v>
      </c>
      <c r="L26" s="45">
        <f>'Planung+Bau'!L24+Grünunterhaltg!L28+'Behofgri+Fläch+Gebä'!L26</f>
        <v>1128</v>
      </c>
      <c r="M26" s="44">
        <f>'Planung+Bau'!M24+Grünunterhaltg!M28+'Behofgri+Fläch+Gebä'!M26</f>
        <v>1143</v>
      </c>
    </row>
    <row r="27" spans="1:13" ht="17.100000000000001" customHeight="1">
      <c r="A27" s="35">
        <v>12</v>
      </c>
      <c r="B27" s="45" t="s">
        <v>48</v>
      </c>
      <c r="C27" s="45">
        <f>'Planung+Bau'!C25+Grünunterhaltg!C29+'Behofgri+Fläch+Gebä'!C27</f>
        <v>-1256.8989999999999</v>
      </c>
      <c r="D27" s="45">
        <f>'Planung+Bau'!D25+Grünunterhaltg!D29+'Behofgri+Fläch+Gebä'!D27</f>
        <v>-1144.21</v>
      </c>
      <c r="E27" s="45">
        <f>'Planung+Bau'!E25+Grünunterhaltg!E29+'Behofgri+Fläch+Gebä'!E27</f>
        <v>-1134.087</v>
      </c>
      <c r="F27" s="45">
        <f>'Planung+Bau'!F25+Grünunterhaltg!F29+'Behofgri+Fläch+Gebä'!F27</f>
        <v>-1098.7929999999999</v>
      </c>
      <c r="G27" s="245">
        <f>'Planung+Bau'!G25+Grünunterhaltg!G29+'Behofgri+Fläch+Gebä'!G27</f>
        <v>-285.75</v>
      </c>
      <c r="H27" s="245">
        <f>'Planung+Bau'!H25+Grünunterhaltg!H29+'Behofgri+Fläch+Gebä'!H27</f>
        <v>-571.5</v>
      </c>
      <c r="I27" s="245">
        <f>'Planung+Bau'!I25+Grünunterhaltg!I29+'Behofgri+Fläch+Gebä'!I27</f>
        <v>-857.25</v>
      </c>
      <c r="J27" s="45">
        <f>'Planung+Bau'!J25+Grünunterhaltg!J29+'Behofgri+Fläch+Gebä'!J27</f>
        <v>-1143</v>
      </c>
      <c r="K27" s="45">
        <f>'Planung+Bau'!K25+Grünunterhaltg!K29+'Behofgri+Fläch+Gebä'!K27</f>
        <v>-1143</v>
      </c>
      <c r="L27" s="45">
        <f>'Planung+Bau'!L25+Grünunterhaltg!L29+'Behofgri+Fläch+Gebä'!L27</f>
        <v>-1123</v>
      </c>
      <c r="M27" s="44">
        <f>'Planung+Bau'!M25+Grünunterhaltg!M29+'Behofgri+Fläch+Gebä'!M27</f>
        <v>-1123</v>
      </c>
    </row>
    <row r="28" spans="1:13" ht="17.100000000000001" customHeight="1">
      <c r="A28" s="35">
        <v>13</v>
      </c>
      <c r="B28" s="47" t="s">
        <v>49</v>
      </c>
      <c r="C28" s="47">
        <f t="shared" ref="C28:M28" si="1">SUM(C21:C27)</f>
        <v>18028.632000000001</v>
      </c>
      <c r="D28" s="47">
        <f>SUM(D21:D27)</f>
        <v>19735.517</v>
      </c>
      <c r="E28" s="47">
        <f>SUM(E21:E27)</f>
        <v>21982.37416512697</v>
      </c>
      <c r="F28" s="47">
        <f t="shared" ref="F28:I28" si="2">SUM(F21:F27)</f>
        <v>20005.256999999998</v>
      </c>
      <c r="G28" s="69">
        <f t="shared" si="2"/>
        <v>5320.4560063898853</v>
      </c>
      <c r="H28" s="69">
        <f t="shared" si="2"/>
        <v>10640.912012779771</v>
      </c>
      <c r="I28" s="69">
        <f t="shared" si="2"/>
        <v>15961.368019169655</v>
      </c>
      <c r="J28" s="50">
        <f t="shared" si="1"/>
        <v>21281.824025559541</v>
      </c>
      <c r="K28" s="50">
        <f t="shared" si="1"/>
        <v>21240.09443511791</v>
      </c>
      <c r="L28" s="51">
        <f t="shared" si="1"/>
        <v>21302.534332825107</v>
      </c>
      <c r="M28" s="50">
        <f t="shared" si="1"/>
        <v>21424.20693252447</v>
      </c>
    </row>
    <row r="29" spans="1:13" ht="17.100000000000001" customHeight="1">
      <c r="A29" s="35">
        <v>14</v>
      </c>
      <c r="B29" s="52" t="s">
        <v>50</v>
      </c>
      <c r="C29" s="52">
        <f>C20-C28</f>
        <v>109.7699999999968</v>
      </c>
      <c r="D29" s="52">
        <f t="shared" ref="D29:M29" si="3">D20-D28</f>
        <v>107.88300000000163</v>
      </c>
      <c r="E29" s="52">
        <f t="shared" si="3"/>
        <v>54.683834873030719</v>
      </c>
      <c r="F29" s="52">
        <f t="shared" si="3"/>
        <v>-36.581999999994878</v>
      </c>
      <c r="G29" s="70">
        <f t="shared" si="3"/>
        <v>-13.45600638988526</v>
      </c>
      <c r="H29" s="70">
        <f t="shared" si="3"/>
        <v>-26.912012779770521</v>
      </c>
      <c r="I29" s="70">
        <f t="shared" si="3"/>
        <v>-40.368019169654872</v>
      </c>
      <c r="J29" s="52">
        <f t="shared" si="3"/>
        <v>-53.824025559541042</v>
      </c>
      <c r="K29" s="52">
        <f t="shared" si="3"/>
        <v>-54.094435117909597</v>
      </c>
      <c r="L29" s="52">
        <f t="shared" si="3"/>
        <v>-54.534332825107413</v>
      </c>
      <c r="M29" s="54">
        <f t="shared" si="3"/>
        <v>-54.206932524470176</v>
      </c>
    </row>
    <row r="30" spans="1:13" ht="17.100000000000001" customHeight="1">
      <c r="A30" s="35">
        <v>15</v>
      </c>
      <c r="B30" s="45" t="s">
        <v>51</v>
      </c>
      <c r="C30" s="45"/>
      <c r="D30" s="45"/>
      <c r="E30" s="45"/>
      <c r="F30" s="45"/>
      <c r="G30" s="41"/>
      <c r="H30" s="41"/>
      <c r="I30" s="41"/>
      <c r="J30" s="55"/>
      <c r="K30" s="55"/>
      <c r="L30" s="56"/>
      <c r="M30" s="55"/>
    </row>
    <row r="31" spans="1:13" ht="17.100000000000001" customHeight="1">
      <c r="A31" s="35">
        <v>16</v>
      </c>
      <c r="B31" s="45" t="s">
        <v>52</v>
      </c>
      <c r="C31" s="45">
        <f>'Planung+Bau'!C29+Grünunterhaltg!C33+'Behofgri+Fläch+Gebä'!C31</f>
        <v>7.6999999999999999E-2</v>
      </c>
      <c r="D31" s="391">
        <f>'Planung+Bau'!D29+Grünunterhaltg!D33+'Behofgri+Fläch+Gebä'!D31</f>
        <v>0</v>
      </c>
      <c r="E31" s="45">
        <f>'Planung+Bau'!E29+Grünunterhaltg!E33+'Behofgri+Fläch+Gebä'!E31</f>
        <v>1</v>
      </c>
      <c r="F31" s="45">
        <f>'Planung+Bau'!F29+Grünunterhaltg!F33+'Behofgri+Fläch+Gebä'!F31</f>
        <v>1</v>
      </c>
      <c r="G31" s="45">
        <f>'Planung+Bau'!G29+Grünunterhaltg!G33+'Behofgri+Fläch+Gebä'!G31</f>
        <v>0.25</v>
      </c>
      <c r="H31" s="245">
        <f>'Planung+Bau'!H29+Grünunterhaltg!H33+'Behofgri+Fläch+Gebä'!H31</f>
        <v>0.5</v>
      </c>
      <c r="I31" s="245">
        <f>'Planung+Bau'!I29+Grünunterhaltg!I33+'Behofgri+Fläch+Gebä'!I31</f>
        <v>0.75</v>
      </c>
      <c r="J31" s="45">
        <f>'Planung+Bau'!J29+Grünunterhaltg!J33+'Behofgri+Fläch+Gebä'!J31</f>
        <v>1</v>
      </c>
      <c r="K31" s="45">
        <f>'Planung+Bau'!K29+Grünunterhaltg!K33+'Behofgri+Fläch+Gebä'!K31</f>
        <v>1</v>
      </c>
      <c r="L31" s="45">
        <f>'Planung+Bau'!L29+Grünunterhaltg!L33+'Behofgri+Fläch+Gebä'!L31</f>
        <v>1</v>
      </c>
      <c r="M31" s="44">
        <f>'Planung+Bau'!M29+Grünunterhaltg!M33+'Behofgri+Fläch+Gebä'!M31</f>
        <v>1</v>
      </c>
    </row>
    <row r="32" spans="1:13" ht="17.100000000000001" customHeight="1">
      <c r="A32" s="35">
        <v>17</v>
      </c>
      <c r="B32" s="45" t="s">
        <v>53</v>
      </c>
      <c r="C32" s="45">
        <f>'Planung+Bau'!C30+Grünunterhaltg!C34+'Behofgri+Fläch+Gebä'!C32</f>
        <v>13.087</v>
      </c>
      <c r="D32" s="45">
        <f>'Planung+Bau'!D30+Grünunterhaltg!D34+'Behofgri+Fläch+Gebä'!D32</f>
        <v>12.781000000000001</v>
      </c>
      <c r="E32" s="45">
        <f>'Planung+Bau'!E30+Grünunterhaltg!E34+'Behofgri+Fläch+Gebä'!E32</f>
        <v>13.25</v>
      </c>
      <c r="F32" s="45">
        <f>'Planung+Bau'!F30+Grünunterhaltg!F34+'Behofgri+Fläch+Gebä'!F32</f>
        <v>16.150000000000002</v>
      </c>
      <c r="G32" s="245">
        <f>'Planung+Bau'!G30+Grünunterhaltg!G34+'Behofgri+Fläch+Gebä'!G32</f>
        <v>3.5</v>
      </c>
      <c r="H32" s="245">
        <f>'Planung+Bau'!H30+Grünunterhaltg!H34+'Behofgri+Fläch+Gebä'!H32</f>
        <v>7</v>
      </c>
      <c r="I32" s="245">
        <f>'Planung+Bau'!I30+Grünunterhaltg!I34+'Behofgri+Fläch+Gebä'!I32</f>
        <v>10.5</v>
      </c>
      <c r="J32" s="45">
        <f>'Planung+Bau'!J30+Grünunterhaltg!J34+'Behofgri+Fläch+Gebä'!J32</f>
        <v>14</v>
      </c>
      <c r="K32" s="45">
        <f>'Planung+Bau'!K30+Grünunterhaltg!K34+'Behofgri+Fläch+Gebä'!K32</f>
        <v>14</v>
      </c>
      <c r="L32" s="45">
        <f>'Planung+Bau'!L30+Grünunterhaltg!L34+'Behofgri+Fläch+Gebä'!L32</f>
        <v>14</v>
      </c>
      <c r="M32" s="44">
        <f>'Planung+Bau'!M30+Grünunterhaltg!M34+'Behofgri+Fläch+Gebä'!M32</f>
        <v>14</v>
      </c>
    </row>
    <row r="33" spans="1:13" ht="17.100000000000001" customHeight="1">
      <c r="A33" s="35">
        <v>18</v>
      </c>
      <c r="B33" s="57" t="s">
        <v>54</v>
      </c>
      <c r="C33" s="57">
        <f>C30+C31-C32</f>
        <v>-13.01</v>
      </c>
      <c r="D33" s="57">
        <f t="shared" ref="D33:M33" si="4">D30+D31-D32</f>
        <v>-12.781000000000001</v>
      </c>
      <c r="E33" s="57">
        <f t="shared" si="4"/>
        <v>-12.25</v>
      </c>
      <c r="F33" s="57">
        <f t="shared" si="4"/>
        <v>-15.150000000000002</v>
      </c>
      <c r="G33" s="71">
        <f t="shared" si="4"/>
        <v>-3.25</v>
      </c>
      <c r="H33" s="71">
        <f t="shared" si="4"/>
        <v>-6.5</v>
      </c>
      <c r="I33" s="71">
        <f t="shared" si="4"/>
        <v>-9.75</v>
      </c>
      <c r="J33" s="57">
        <f t="shared" si="4"/>
        <v>-13</v>
      </c>
      <c r="K33" s="57">
        <f t="shared" si="4"/>
        <v>-13</v>
      </c>
      <c r="L33" s="57">
        <f t="shared" si="4"/>
        <v>-13</v>
      </c>
      <c r="M33" s="59">
        <f t="shared" si="4"/>
        <v>-13</v>
      </c>
    </row>
    <row r="34" spans="1:13" ht="17.100000000000001" customHeight="1">
      <c r="A34" s="35">
        <v>19</v>
      </c>
      <c r="B34" s="60" t="s">
        <v>55</v>
      </c>
      <c r="C34" s="52">
        <f t="shared" ref="C34:M34" si="5">C29+C33</f>
        <v>96.759999999996793</v>
      </c>
      <c r="D34" s="52">
        <f t="shared" si="5"/>
        <v>95.102000000001624</v>
      </c>
      <c r="E34" s="52">
        <f>E29+E33</f>
        <v>42.433834873030719</v>
      </c>
      <c r="F34" s="52">
        <f t="shared" ref="F34:I34" si="6">F29+F33</f>
        <v>-51.731999999994883</v>
      </c>
      <c r="G34" s="70">
        <f t="shared" si="6"/>
        <v>-16.70600638988526</v>
      </c>
      <c r="H34" s="70">
        <f t="shared" si="6"/>
        <v>-33.412012779770521</v>
      </c>
      <c r="I34" s="70">
        <f t="shared" si="6"/>
        <v>-50.118019169654872</v>
      </c>
      <c r="J34" s="61">
        <f t="shared" si="5"/>
        <v>-66.824025559541042</v>
      </c>
      <c r="K34" s="61">
        <f t="shared" si="5"/>
        <v>-67.094435117909597</v>
      </c>
      <c r="L34" s="62">
        <f t="shared" si="5"/>
        <v>-67.534332825107413</v>
      </c>
      <c r="M34" s="61">
        <f t="shared" si="5"/>
        <v>-67.206932524470176</v>
      </c>
    </row>
    <row r="35" spans="1:13" ht="17.100000000000001" customHeight="1">
      <c r="A35" s="35">
        <v>20</v>
      </c>
      <c r="B35" s="4" t="s">
        <v>56</v>
      </c>
      <c r="C35" s="45">
        <f>'Planung+Bau'!C33+Grünunterhaltg!C37+'Behofgri+Fläch+Gebä'!C35</f>
        <v>0</v>
      </c>
      <c r="D35" s="45">
        <f>'Planung+Bau'!D33+Grünunterhaltg!D37+'Behofgri+Fläch+Gebä'!D35</f>
        <v>0</v>
      </c>
      <c r="E35" s="45">
        <f>'Planung+Bau'!E33+Grünunterhaltg!E37+'Behofgri+Fläch+Gebä'!E35</f>
        <v>107.88</v>
      </c>
      <c r="F35" s="45">
        <f>'Planung+Bau'!F33+Grünunterhaltg!F37+'Behofgri+Fläch+Gebä'!F35</f>
        <v>105.62</v>
      </c>
      <c r="G35" s="245">
        <f>'Planung+Bau'!G33+Grünunterhaltg!G37+'Behofgri+Fläch+Gebä'!G35</f>
        <v>26.97</v>
      </c>
      <c r="H35" s="245">
        <f>'Planung+Bau'!H33+Grünunterhaltg!H37+'Behofgri+Fläch+Gebä'!H35</f>
        <v>53.94</v>
      </c>
      <c r="I35" s="245">
        <f>'Planung+Bau'!I33+Grünunterhaltg!I37+'Behofgri+Fläch+Gebä'!I35</f>
        <v>80.910000000000011</v>
      </c>
      <c r="J35" s="45">
        <f>'Planung+Bau'!J33+Grünunterhaltg!J37+'Behofgri+Fläch+Gebä'!J35</f>
        <v>107.88</v>
      </c>
      <c r="K35" s="45">
        <f>'Planung+Bau'!K33+Grünunterhaltg!K37+'Behofgri+Fläch+Gebä'!K35</f>
        <v>107.88</v>
      </c>
      <c r="L35" s="45">
        <f>'Planung+Bau'!L33+Grünunterhaltg!L37+'Behofgri+Fläch+Gebä'!L35</f>
        <v>107.88</v>
      </c>
      <c r="M35" s="44">
        <f>'Planung+Bau'!M33+Grünunterhaltg!M37+'Behofgri+Fläch+Gebä'!M35</f>
        <v>107.88</v>
      </c>
    </row>
    <row r="36" spans="1:13" ht="17.100000000000001" customHeight="1">
      <c r="A36" s="35">
        <v>21</v>
      </c>
      <c r="B36" s="45" t="s">
        <v>57</v>
      </c>
      <c r="C36" s="45">
        <f>'Planung+Bau'!C34+Grünunterhaltg!C38+'Behofgri+Fläch+Gebä'!C36</f>
        <v>42.731999999999999</v>
      </c>
      <c r="D36" s="45">
        <f>'Planung+Bau'!D34+Grünunterhaltg!D38+'Behofgri+Fläch+Gebä'!D36</f>
        <v>33.564</v>
      </c>
      <c r="E36" s="45">
        <f>'Planung+Bau'!E34+Grünunterhaltg!E38+'Behofgri+Fläch+Gebä'!E36</f>
        <v>57.864649999999997</v>
      </c>
      <c r="F36" s="45">
        <f>'Planung+Bau'!F34+Grünunterhaltg!F38+'Behofgri+Fläch+Gebä'!F36</f>
        <v>53.08</v>
      </c>
      <c r="G36" s="245">
        <f>'Planung+Bau'!G34+Grünunterhaltg!G38+'Behofgri+Fläch+Gebä'!G36</f>
        <v>10.1875</v>
      </c>
      <c r="H36" s="245">
        <f>'Planung+Bau'!H34+Grünunterhaltg!H38+'Behofgri+Fläch+Gebä'!H36</f>
        <v>20.375</v>
      </c>
      <c r="I36" s="245">
        <f>'Planung+Bau'!I34+Grünunterhaltg!I38+'Behofgri+Fläch+Gebä'!I36</f>
        <v>30.5625</v>
      </c>
      <c r="J36" s="45">
        <f>'Planung+Bau'!J34+Grünunterhaltg!J38+'Behofgri+Fläch+Gebä'!J36</f>
        <v>40.75</v>
      </c>
      <c r="K36" s="45">
        <f>'Planung+Bau'!K34+Grünunterhaltg!K38+'Behofgri+Fläch+Gebä'!K36</f>
        <v>40.75</v>
      </c>
      <c r="L36" s="45">
        <f>'Planung+Bau'!L34+Grünunterhaltg!L38+'Behofgri+Fläch+Gebä'!L36</f>
        <v>40.75</v>
      </c>
      <c r="M36" s="44">
        <f>'Planung+Bau'!M34+Grünunterhaltg!M38+'Behofgri+Fläch+Gebä'!M36</f>
        <v>40.75</v>
      </c>
    </row>
    <row r="37" spans="1:13" ht="17.100000000000001" customHeight="1">
      <c r="A37" s="63">
        <v>22</v>
      </c>
      <c r="B37" s="64" t="s">
        <v>58</v>
      </c>
      <c r="C37" s="64">
        <f t="shared" ref="C37:M37" si="7">C34+C35-C36</f>
        <v>54.027999999996794</v>
      </c>
      <c r="D37" s="64">
        <f t="shared" si="7"/>
        <v>61.538000000001624</v>
      </c>
      <c r="E37" s="64">
        <f t="shared" si="7"/>
        <v>92.449184873030717</v>
      </c>
      <c r="F37" s="64">
        <f t="shared" si="7"/>
        <v>0.80800000000512284</v>
      </c>
      <c r="G37" s="72">
        <f t="shared" si="7"/>
        <v>7.6493610114738431E-2</v>
      </c>
      <c r="H37" s="72">
        <f t="shared" si="7"/>
        <v>0.15298722022947686</v>
      </c>
      <c r="I37" s="72">
        <f t="shared" si="7"/>
        <v>0.229480830345139</v>
      </c>
      <c r="J37" s="66">
        <f t="shared" si="7"/>
        <v>0.30597444045895372</v>
      </c>
      <c r="K37" s="66">
        <f t="shared" si="7"/>
        <v>3.5564882090397987E-2</v>
      </c>
      <c r="L37" s="67">
        <f t="shared" si="7"/>
        <v>-0.40433282510741719</v>
      </c>
      <c r="M37" s="66">
        <f t="shared" si="7"/>
        <v>-7.6932524470180397E-2</v>
      </c>
    </row>
  </sheetData>
  <mergeCells count="14">
    <mergeCell ref="A1:E3"/>
    <mergeCell ref="F1:J3"/>
    <mergeCell ref="K1:N3"/>
    <mergeCell ref="A4:M4"/>
    <mergeCell ref="A5:B5"/>
    <mergeCell ref="C5:M5"/>
    <mergeCell ref="A8:B8"/>
    <mergeCell ref="B10:M10"/>
    <mergeCell ref="A6:B6"/>
    <mergeCell ref="G6:M6"/>
    <mergeCell ref="A7:B7"/>
    <mergeCell ref="C7:F7"/>
    <mergeCell ref="G7:K7"/>
    <mergeCell ref="L7:M7"/>
  </mergeCells>
  <conditionalFormatting sqref="D17:M17">
    <cfRule type="cellIs" dxfId="4" priority="5" operator="equal">
      <formula>0</formula>
    </cfRule>
  </conditionalFormatting>
  <conditionalFormatting sqref="C18:L18">
    <cfRule type="cellIs" dxfId="3" priority="4" operator="equal">
      <formula>0</formula>
    </cfRule>
  </conditionalFormatting>
  <conditionalFormatting sqref="M18">
    <cfRule type="cellIs" dxfId="2" priority="3" operator="equal">
      <formula>0</formula>
    </cfRule>
  </conditionalFormatting>
  <conditionalFormatting sqref="C31:D31">
    <cfRule type="cellIs" dxfId="1" priority="2" operator="equal">
      <formula>0</formula>
    </cfRule>
  </conditionalFormatting>
  <conditionalFormatting sqref="G31">
    <cfRule type="cellIs" dxfId="0" priority="1" operator="equal">
      <formula>0</formula>
    </cfRule>
  </conditionalFormatting>
  <pageMargins left="0.51181102362204722" right="0" top="0.39370078740157483" bottom="0.19685039370078741" header="0.31496062992125984" footer="0.31496062992125984"/>
  <pageSetup paperSize="9" scale="70" orientation="landscape" r:id="rId1"/>
  <headerFooter>
    <oddHeader>&amp;RBlatt 2a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Layout" zoomScale="70" zoomScaleNormal="100" zoomScalePageLayoutView="70" workbookViewId="0">
      <selection activeCell="C38" sqref="C38"/>
    </sheetView>
  </sheetViews>
  <sheetFormatPr baseColWidth="10" defaultRowHeight="15"/>
  <cols>
    <col min="1" max="1" width="6.28515625" customWidth="1"/>
    <col min="2" max="2" width="30.28515625" customWidth="1"/>
    <col min="3" max="13" width="12.7109375" customWidth="1"/>
    <col min="14" max="14" width="6.85546875" style="73" customWidth="1"/>
  </cols>
  <sheetData>
    <row r="1" spans="1:14" ht="15" customHeight="1">
      <c r="A1" s="470" t="s">
        <v>0</v>
      </c>
      <c r="B1" s="470"/>
      <c r="C1" s="470"/>
      <c r="D1" s="470"/>
      <c r="E1" s="471"/>
      <c r="F1" s="500"/>
      <c r="G1" s="500"/>
      <c r="H1" s="500"/>
      <c r="I1" s="500"/>
      <c r="J1" s="500"/>
      <c r="K1" s="502" t="s">
        <v>1</v>
      </c>
      <c r="L1" s="502"/>
      <c r="M1" s="502"/>
      <c r="N1" s="502"/>
    </row>
    <row r="2" spans="1:14">
      <c r="A2" s="470"/>
      <c r="B2" s="470"/>
      <c r="C2" s="470"/>
      <c r="D2" s="470"/>
      <c r="E2" s="471"/>
      <c r="F2" s="500"/>
      <c r="G2" s="500"/>
      <c r="H2" s="500"/>
      <c r="I2" s="500"/>
      <c r="J2" s="500"/>
      <c r="K2" s="502"/>
      <c r="L2" s="502"/>
      <c r="M2" s="502"/>
      <c r="N2" s="502"/>
    </row>
    <row r="3" spans="1:14">
      <c r="A3" s="472"/>
      <c r="B3" s="472"/>
      <c r="C3" s="472"/>
      <c r="D3" s="472"/>
      <c r="E3" s="473"/>
      <c r="F3" s="501"/>
      <c r="G3" s="501"/>
      <c r="H3" s="501"/>
      <c r="I3" s="501"/>
      <c r="J3" s="501"/>
      <c r="K3" s="502"/>
      <c r="L3" s="502"/>
      <c r="M3" s="502"/>
      <c r="N3" s="502"/>
    </row>
    <row r="4" spans="1:14" ht="18">
      <c r="A4" s="477" t="s">
        <v>2</v>
      </c>
      <c r="B4" s="478"/>
      <c r="C4" s="478"/>
      <c r="D4" s="478"/>
      <c r="E4" s="478"/>
      <c r="F4" s="478"/>
      <c r="G4" s="478"/>
      <c r="H4" s="478"/>
      <c r="I4" s="478"/>
      <c r="J4" s="478"/>
      <c r="K4" s="478"/>
      <c r="L4" s="478"/>
      <c r="M4" s="479"/>
    </row>
    <row r="5" spans="1:14" ht="15.75">
      <c r="A5" s="480" t="s">
        <v>3</v>
      </c>
      <c r="B5" s="481"/>
      <c r="C5" s="482" t="s">
        <v>4</v>
      </c>
      <c r="D5" s="482"/>
      <c r="E5" s="482"/>
      <c r="F5" s="482"/>
      <c r="G5" s="482"/>
      <c r="H5" s="482"/>
      <c r="I5" s="482"/>
      <c r="J5" s="483"/>
      <c r="K5" s="483"/>
      <c r="L5" s="483"/>
      <c r="M5" s="484"/>
    </row>
    <row r="6" spans="1:14">
      <c r="A6" s="480" t="s">
        <v>5</v>
      </c>
      <c r="B6" s="481"/>
      <c r="C6" s="24"/>
      <c r="D6" s="24"/>
      <c r="E6" s="24"/>
      <c r="F6" s="24"/>
      <c r="G6" s="485" t="s">
        <v>6</v>
      </c>
      <c r="H6" s="486"/>
      <c r="I6" s="486"/>
      <c r="J6" s="486"/>
      <c r="K6" s="486"/>
      <c r="L6" s="486"/>
      <c r="M6" s="487"/>
    </row>
    <row r="7" spans="1:14">
      <c r="A7" s="488"/>
      <c r="B7" s="489"/>
      <c r="C7" s="490" t="s">
        <v>62</v>
      </c>
      <c r="D7" s="491"/>
      <c r="E7" s="491"/>
      <c r="F7" s="492"/>
      <c r="G7" s="493" t="s">
        <v>8</v>
      </c>
      <c r="H7" s="494"/>
      <c r="I7" s="495"/>
      <c r="J7" s="495"/>
      <c r="K7" s="496"/>
      <c r="L7" s="493" t="s">
        <v>9</v>
      </c>
      <c r="M7" s="497"/>
    </row>
    <row r="8" spans="1:14">
      <c r="A8" s="498" t="s">
        <v>10</v>
      </c>
      <c r="B8" s="499"/>
      <c r="C8" s="26" t="s">
        <v>11</v>
      </c>
      <c r="D8" s="26" t="s">
        <v>11</v>
      </c>
      <c r="E8" s="26" t="s">
        <v>12</v>
      </c>
      <c r="F8" s="26" t="s">
        <v>13</v>
      </c>
      <c r="G8" s="27" t="s">
        <v>14</v>
      </c>
      <c r="H8" s="27" t="s">
        <v>15</v>
      </c>
      <c r="I8" s="27" t="s">
        <v>16</v>
      </c>
      <c r="J8" s="27" t="s">
        <v>17</v>
      </c>
      <c r="K8" s="26" t="s">
        <v>18</v>
      </c>
      <c r="L8" s="28" t="s">
        <v>18</v>
      </c>
      <c r="M8" s="29" t="s">
        <v>18</v>
      </c>
    </row>
    <row r="9" spans="1:14">
      <c r="A9" s="30"/>
      <c r="B9" s="10"/>
      <c r="C9" s="31">
        <v>2015</v>
      </c>
      <c r="D9" s="31">
        <v>2016</v>
      </c>
      <c r="E9" s="31">
        <v>2017</v>
      </c>
      <c r="F9" s="31">
        <v>2017</v>
      </c>
      <c r="G9" s="32">
        <v>2018</v>
      </c>
      <c r="H9" s="32">
        <v>2018</v>
      </c>
      <c r="I9" s="32">
        <v>2018</v>
      </c>
      <c r="J9" s="32">
        <v>2018</v>
      </c>
      <c r="K9" s="33">
        <v>2019</v>
      </c>
      <c r="L9" s="11">
        <v>2020</v>
      </c>
      <c r="M9" s="33">
        <v>2021</v>
      </c>
    </row>
    <row r="10" spans="1:14">
      <c r="A10" s="34" t="s">
        <v>19</v>
      </c>
      <c r="B10" s="467" t="s">
        <v>20</v>
      </c>
      <c r="C10" s="468"/>
      <c r="D10" s="468"/>
      <c r="E10" s="468"/>
      <c r="F10" s="468"/>
      <c r="G10" s="468"/>
      <c r="H10" s="468"/>
      <c r="I10" s="468"/>
      <c r="J10" s="468"/>
      <c r="K10" s="468"/>
      <c r="L10" s="468"/>
      <c r="M10" s="469"/>
    </row>
    <row r="11" spans="1:14" ht="17.100000000000001" customHeight="1">
      <c r="A11" s="35">
        <v>1</v>
      </c>
      <c r="B11" s="36" t="s">
        <v>21</v>
      </c>
      <c r="C11" s="36">
        <f t="shared" ref="C11:M11" si="0">SUM(C12:C14)</f>
        <v>1608.826</v>
      </c>
      <c r="D11" s="36">
        <f t="shared" si="0"/>
        <v>1940.4660000000001</v>
      </c>
      <c r="E11" s="36">
        <f t="shared" si="0"/>
        <v>2022</v>
      </c>
      <c r="F11" s="36">
        <f t="shared" si="0"/>
        <v>1576.913</v>
      </c>
      <c r="G11" s="68">
        <f t="shared" si="0"/>
        <v>543.75</v>
      </c>
      <c r="H11" s="68">
        <f t="shared" si="0"/>
        <v>1087.5</v>
      </c>
      <c r="I11" s="68">
        <f t="shared" si="0"/>
        <v>1631.25</v>
      </c>
      <c r="J11" s="36">
        <f t="shared" si="0"/>
        <v>2175</v>
      </c>
      <c r="K11" s="36">
        <f t="shared" si="0"/>
        <v>2038</v>
      </c>
      <c r="L11" s="36">
        <f t="shared" si="0"/>
        <v>1951</v>
      </c>
      <c r="M11" s="38">
        <f t="shared" si="0"/>
        <v>1964</v>
      </c>
    </row>
    <row r="12" spans="1:14" s="12" customFormat="1" ht="17.100000000000001" customHeight="1">
      <c r="A12" s="39" t="s">
        <v>22</v>
      </c>
      <c r="B12" s="40" t="s">
        <v>23</v>
      </c>
      <c r="C12" s="41">
        <v>1055</v>
      </c>
      <c r="D12" s="41">
        <v>1330</v>
      </c>
      <c r="E12" s="41">
        <v>1342</v>
      </c>
      <c r="F12" s="41">
        <v>1146.913</v>
      </c>
      <c r="G12" s="41">
        <v>331.25</v>
      </c>
      <c r="H12" s="41">
        <v>662.5</v>
      </c>
      <c r="I12" s="41">
        <v>993.75</v>
      </c>
      <c r="J12" s="74">
        <v>1325</v>
      </c>
      <c r="K12" s="74">
        <v>1338</v>
      </c>
      <c r="L12" s="75">
        <v>1351</v>
      </c>
      <c r="M12" s="74">
        <v>1364</v>
      </c>
      <c r="N12" s="76"/>
    </row>
    <row r="13" spans="1:14" s="12" customFormat="1" ht="17.100000000000001" customHeight="1">
      <c r="A13" s="43" t="s">
        <v>24</v>
      </c>
      <c r="B13" s="40" t="s">
        <v>35</v>
      </c>
      <c r="C13" s="41">
        <v>283.22199999999998</v>
      </c>
      <c r="D13" s="41">
        <v>241.209</v>
      </c>
      <c r="E13" s="41">
        <v>470</v>
      </c>
      <c r="F13" s="41">
        <v>190</v>
      </c>
      <c r="G13" s="41">
        <v>112.5</v>
      </c>
      <c r="H13" s="41">
        <v>225</v>
      </c>
      <c r="I13" s="41">
        <v>337.5</v>
      </c>
      <c r="J13" s="77">
        <v>450</v>
      </c>
      <c r="K13" s="77">
        <v>400</v>
      </c>
      <c r="L13" s="77">
        <v>350</v>
      </c>
      <c r="M13" s="77">
        <v>350</v>
      </c>
      <c r="N13" s="13"/>
    </row>
    <row r="14" spans="1:14" s="78" customFormat="1" ht="17.100000000000001" customHeight="1">
      <c r="A14" s="43" t="s">
        <v>26</v>
      </c>
      <c r="B14" s="40" t="s">
        <v>63</v>
      </c>
      <c r="C14" s="41">
        <v>270.60399999999998</v>
      </c>
      <c r="D14" s="41">
        <v>369.25700000000001</v>
      </c>
      <c r="E14" s="41">
        <v>210</v>
      </c>
      <c r="F14" s="41">
        <v>240</v>
      </c>
      <c r="G14" s="41">
        <v>100</v>
      </c>
      <c r="H14" s="41">
        <v>200</v>
      </c>
      <c r="I14" s="41">
        <v>300</v>
      </c>
      <c r="J14" s="77">
        <v>400</v>
      </c>
      <c r="K14" s="77">
        <v>300</v>
      </c>
      <c r="L14" s="77">
        <v>250</v>
      </c>
      <c r="M14" s="77">
        <v>250</v>
      </c>
      <c r="N14" s="13"/>
    </row>
    <row r="15" spans="1:14" ht="17.100000000000001" customHeight="1">
      <c r="A15" s="35">
        <v>2</v>
      </c>
      <c r="B15" s="44" t="s">
        <v>38</v>
      </c>
      <c r="C15" s="45">
        <v>123.803</v>
      </c>
      <c r="D15" s="45"/>
      <c r="E15" s="45"/>
      <c r="F15" s="45"/>
      <c r="G15" s="41"/>
      <c r="H15" s="41"/>
      <c r="I15" s="41"/>
      <c r="J15" s="55"/>
      <c r="K15" s="55"/>
      <c r="L15" s="56"/>
      <c r="M15" s="55"/>
      <c r="N15" s="13"/>
    </row>
    <row r="16" spans="1:14" ht="17.100000000000001" customHeight="1">
      <c r="A16" s="35">
        <v>3</v>
      </c>
      <c r="B16" s="44" t="s">
        <v>39</v>
      </c>
      <c r="C16" s="45"/>
      <c r="D16" s="45"/>
      <c r="E16" s="45"/>
      <c r="F16" s="45"/>
      <c r="G16" s="41"/>
      <c r="H16" s="41"/>
      <c r="I16" s="41"/>
      <c r="J16" s="55"/>
      <c r="K16" s="55"/>
      <c r="L16" s="56"/>
      <c r="M16" s="55"/>
    </row>
    <row r="17" spans="1:14" ht="17.100000000000001" customHeight="1">
      <c r="A17" s="35">
        <v>4</v>
      </c>
      <c r="B17" s="45" t="s">
        <v>40</v>
      </c>
      <c r="C17" s="45">
        <v>5.09</v>
      </c>
      <c r="D17" s="45">
        <v>2.7309999999999999</v>
      </c>
      <c r="E17" s="45">
        <v>6</v>
      </c>
      <c r="F17" s="45">
        <v>4</v>
      </c>
      <c r="G17" s="41">
        <v>1.25</v>
      </c>
      <c r="H17" s="41">
        <v>2.5</v>
      </c>
      <c r="I17" s="41">
        <v>3.75</v>
      </c>
      <c r="J17" s="55">
        <v>5</v>
      </c>
      <c r="K17" s="55">
        <v>5</v>
      </c>
      <c r="L17" s="56">
        <v>5</v>
      </c>
      <c r="M17" s="55">
        <v>5</v>
      </c>
    </row>
    <row r="18" spans="1:14" ht="17.100000000000001" customHeight="1">
      <c r="A18" s="35">
        <v>5</v>
      </c>
      <c r="B18" s="47" t="s">
        <v>41</v>
      </c>
      <c r="C18" s="47">
        <f t="shared" ref="C18:M18" si="1">C11+C15+C16+C17</f>
        <v>1737.7189999999998</v>
      </c>
      <c r="D18" s="47">
        <f t="shared" si="1"/>
        <v>1943.1970000000001</v>
      </c>
      <c r="E18" s="47">
        <f t="shared" si="1"/>
        <v>2028</v>
      </c>
      <c r="F18" s="47">
        <f t="shared" si="1"/>
        <v>1580.913</v>
      </c>
      <c r="G18" s="69">
        <f t="shared" si="1"/>
        <v>545</v>
      </c>
      <c r="H18" s="69">
        <f t="shared" si="1"/>
        <v>1090</v>
      </c>
      <c r="I18" s="69">
        <f t="shared" si="1"/>
        <v>1635</v>
      </c>
      <c r="J18" s="47">
        <f t="shared" si="1"/>
        <v>2180</v>
      </c>
      <c r="K18" s="47">
        <f t="shared" si="1"/>
        <v>2043</v>
      </c>
      <c r="L18" s="47">
        <f t="shared" si="1"/>
        <v>1956</v>
      </c>
      <c r="M18" s="49">
        <f t="shared" si="1"/>
        <v>1969</v>
      </c>
    </row>
    <row r="19" spans="1:14" ht="17.100000000000001" customHeight="1">
      <c r="A19" s="35">
        <v>6</v>
      </c>
      <c r="B19" s="45" t="s">
        <v>42</v>
      </c>
      <c r="C19" s="45">
        <v>11.603999999999999</v>
      </c>
      <c r="D19" s="45">
        <v>10.785</v>
      </c>
      <c r="E19" s="45">
        <v>12.711</v>
      </c>
      <c r="F19" s="45">
        <v>11.965</v>
      </c>
      <c r="G19" s="41">
        <v>3</v>
      </c>
      <c r="H19" s="41">
        <v>6</v>
      </c>
      <c r="I19" s="41">
        <v>9</v>
      </c>
      <c r="J19" s="55">
        <v>12</v>
      </c>
      <c r="K19" s="55">
        <v>12.120000000000001</v>
      </c>
      <c r="L19" s="55">
        <v>12.241200000000001</v>
      </c>
      <c r="M19" s="55">
        <v>12.363612000000002</v>
      </c>
    </row>
    <row r="20" spans="1:14" ht="17.100000000000001" customHeight="1">
      <c r="A20" s="35">
        <v>7</v>
      </c>
      <c r="B20" s="45" t="s">
        <v>43</v>
      </c>
      <c r="C20" s="45">
        <v>143.18299999999999</v>
      </c>
      <c r="D20" s="45">
        <v>323.173</v>
      </c>
      <c r="E20" s="45">
        <v>351.226</v>
      </c>
      <c r="F20" s="45">
        <v>157.41800000000001</v>
      </c>
      <c r="G20" s="41">
        <v>83.75</v>
      </c>
      <c r="H20" s="41">
        <v>167.5</v>
      </c>
      <c r="I20" s="41">
        <v>251.25</v>
      </c>
      <c r="J20" s="55">
        <v>335</v>
      </c>
      <c r="K20" s="55">
        <v>338.35</v>
      </c>
      <c r="L20" s="55">
        <v>348</v>
      </c>
      <c r="M20" s="55">
        <v>350</v>
      </c>
      <c r="N20" s="13"/>
    </row>
    <row r="21" spans="1:14" s="14" customFormat="1" ht="17.100000000000001" customHeight="1">
      <c r="A21" s="35">
        <v>8</v>
      </c>
      <c r="B21" s="45" t="s">
        <v>44</v>
      </c>
      <c r="C21" s="45">
        <v>1248.271</v>
      </c>
      <c r="D21" s="45">
        <v>1237.442</v>
      </c>
      <c r="E21" s="45">
        <v>1474.604</v>
      </c>
      <c r="F21" s="45">
        <v>1281.287</v>
      </c>
      <c r="G21" s="41">
        <v>391.3966152211525</v>
      </c>
      <c r="H21" s="41">
        <v>782.793230442305</v>
      </c>
      <c r="I21" s="41">
        <v>1174.1898456634576</v>
      </c>
      <c r="J21" s="55">
        <v>1565.58646088461</v>
      </c>
      <c r="K21" s="55">
        <v>1431.5234577978699</v>
      </c>
      <c r="L21" s="55">
        <v>1374.80070966484</v>
      </c>
      <c r="M21" s="55">
        <v>1394.91665595021</v>
      </c>
      <c r="N21" s="13"/>
    </row>
    <row r="22" spans="1:14" ht="17.100000000000001" customHeight="1">
      <c r="A22" s="35">
        <v>9</v>
      </c>
      <c r="B22" s="45" t="s">
        <v>45</v>
      </c>
      <c r="C22" s="45">
        <v>22.335000000000001</v>
      </c>
      <c r="D22" s="45">
        <v>22.007999999999999</v>
      </c>
      <c r="E22" s="45">
        <v>17.722000000000001</v>
      </c>
      <c r="F22" s="45">
        <v>15.987</v>
      </c>
      <c r="G22" s="41">
        <v>1.002</v>
      </c>
      <c r="H22" s="41">
        <v>2.004</v>
      </c>
      <c r="I22" s="41">
        <v>3.0060000000000002</v>
      </c>
      <c r="J22" s="55">
        <v>4.008</v>
      </c>
      <c r="K22" s="55">
        <v>4.5830000000000002</v>
      </c>
      <c r="L22" s="55">
        <v>4.5830000000000002</v>
      </c>
      <c r="M22" s="55">
        <v>4.5830000000000002</v>
      </c>
      <c r="N22" s="79"/>
    </row>
    <row r="23" spans="1:14" ht="17.100000000000001" customHeight="1">
      <c r="A23" s="35">
        <v>10</v>
      </c>
      <c r="B23" s="45" t="s">
        <v>46</v>
      </c>
      <c r="C23" s="45">
        <v>159.80000000000001</v>
      </c>
      <c r="D23" s="45">
        <v>137.654</v>
      </c>
      <c r="E23" s="45">
        <v>144.85400000000001</v>
      </c>
      <c r="F23" s="45">
        <v>137.97800000000001</v>
      </c>
      <c r="G23" s="41">
        <v>37.5</v>
      </c>
      <c r="H23" s="41">
        <v>75</v>
      </c>
      <c r="I23" s="41">
        <v>112.5</v>
      </c>
      <c r="J23" s="55">
        <v>150</v>
      </c>
      <c r="K23" s="55">
        <v>145</v>
      </c>
      <c r="L23" s="55">
        <v>146.44999999999999</v>
      </c>
      <c r="M23" s="55">
        <v>147.9145</v>
      </c>
    </row>
    <row r="24" spans="1:14" s="14" customFormat="1" ht="17.100000000000001" customHeight="1">
      <c r="A24" s="35">
        <v>11</v>
      </c>
      <c r="B24" s="45" t="s">
        <v>47</v>
      </c>
      <c r="C24" s="45">
        <v>359.214</v>
      </c>
      <c r="D24" s="45">
        <v>343.98099999999999</v>
      </c>
      <c r="E24" s="45">
        <v>369</v>
      </c>
      <c r="F24" s="45">
        <v>402.40100000000001</v>
      </c>
      <c r="G24" s="41">
        <v>95</v>
      </c>
      <c r="H24" s="41">
        <v>190</v>
      </c>
      <c r="I24" s="41">
        <v>285</v>
      </c>
      <c r="J24" s="55">
        <v>380</v>
      </c>
      <c r="K24" s="55">
        <v>360</v>
      </c>
      <c r="L24" s="55">
        <v>340</v>
      </c>
      <c r="M24" s="55">
        <v>364</v>
      </c>
      <c r="N24" s="13"/>
    </row>
    <row r="25" spans="1:14" ht="17.100000000000001" customHeight="1">
      <c r="A25" s="35">
        <v>12</v>
      </c>
      <c r="B25" s="45" t="s">
        <v>48</v>
      </c>
      <c r="C25" s="45">
        <v>-57.082999999999998</v>
      </c>
      <c r="D25" s="45">
        <v>29.824000000000002</v>
      </c>
      <c r="E25" s="45">
        <v>6.5780000000000003</v>
      </c>
      <c r="F25" s="45">
        <v>4.3739999999999997</v>
      </c>
      <c r="G25" s="41">
        <v>5</v>
      </c>
      <c r="H25" s="41">
        <v>10</v>
      </c>
      <c r="I25" s="41">
        <v>15</v>
      </c>
      <c r="J25" s="55">
        <v>20</v>
      </c>
      <c r="K25" s="55">
        <v>20</v>
      </c>
      <c r="L25" s="55">
        <v>20</v>
      </c>
      <c r="M25" s="55">
        <v>20</v>
      </c>
    </row>
    <row r="26" spans="1:14" ht="17.100000000000001" customHeight="1">
      <c r="A26" s="35">
        <v>13</v>
      </c>
      <c r="B26" s="47" t="s">
        <v>49</v>
      </c>
      <c r="C26" s="47">
        <f t="shared" ref="C26:M26" si="2">SUM(C19:C25)</f>
        <v>1887.3239999999998</v>
      </c>
      <c r="D26" s="47">
        <f>SUM(D19:D25)</f>
        <v>2104.8670000000002</v>
      </c>
      <c r="E26" s="47">
        <f>SUM(E19:E25)</f>
        <v>2376.6950000000002</v>
      </c>
      <c r="F26" s="47">
        <f t="shared" ref="F26:I26" si="3">SUM(F19:F25)</f>
        <v>2011.4100000000003</v>
      </c>
      <c r="G26" s="69">
        <f t="shared" si="3"/>
        <v>616.64861522115257</v>
      </c>
      <c r="H26" s="69">
        <f t="shared" si="3"/>
        <v>1233.2972304423051</v>
      </c>
      <c r="I26" s="69">
        <f t="shared" si="3"/>
        <v>1849.9458456634577</v>
      </c>
      <c r="J26" s="50">
        <f t="shared" si="2"/>
        <v>2466.5944608846103</v>
      </c>
      <c r="K26" s="50">
        <f t="shared" si="2"/>
        <v>2311.5764577978698</v>
      </c>
      <c r="L26" s="51">
        <f t="shared" si="2"/>
        <v>2246.0749096648401</v>
      </c>
      <c r="M26" s="50">
        <f t="shared" si="2"/>
        <v>2293.7777679502105</v>
      </c>
    </row>
    <row r="27" spans="1:14" ht="17.100000000000001" customHeight="1">
      <c r="A27" s="35">
        <v>14</v>
      </c>
      <c r="B27" s="52" t="s">
        <v>50</v>
      </c>
      <c r="C27" s="52">
        <f>C18-C26</f>
        <v>-149.60500000000002</v>
      </c>
      <c r="D27" s="52">
        <f t="shared" ref="D27:M27" si="4">D18-D26</f>
        <v>-161.67000000000007</v>
      </c>
      <c r="E27" s="52">
        <f t="shared" si="4"/>
        <v>-348.69500000000016</v>
      </c>
      <c r="F27" s="52">
        <f t="shared" si="4"/>
        <v>-430.4970000000003</v>
      </c>
      <c r="G27" s="70">
        <f t="shared" si="4"/>
        <v>-71.648615221152568</v>
      </c>
      <c r="H27" s="70">
        <f t="shared" si="4"/>
        <v>-143.29723044230514</v>
      </c>
      <c r="I27" s="70">
        <f t="shared" si="4"/>
        <v>-214.9458456634577</v>
      </c>
      <c r="J27" s="52">
        <f t="shared" si="4"/>
        <v>-286.59446088461027</v>
      </c>
      <c r="K27" s="52">
        <f t="shared" si="4"/>
        <v>-268.57645779786981</v>
      </c>
      <c r="L27" s="52">
        <f t="shared" si="4"/>
        <v>-290.07490966484011</v>
      </c>
      <c r="M27" s="54">
        <f t="shared" si="4"/>
        <v>-324.77776795021055</v>
      </c>
    </row>
    <row r="28" spans="1:14" ht="17.100000000000001" customHeight="1">
      <c r="A28" s="35">
        <v>15</v>
      </c>
      <c r="B28" s="45" t="s">
        <v>51</v>
      </c>
      <c r="C28" s="45"/>
      <c r="D28" s="45"/>
      <c r="E28" s="45"/>
      <c r="F28" s="45"/>
      <c r="G28" s="41"/>
      <c r="H28" s="41"/>
      <c r="I28" s="41"/>
      <c r="J28" s="55"/>
      <c r="K28" s="55"/>
      <c r="L28" s="56"/>
      <c r="M28" s="55"/>
    </row>
    <row r="29" spans="1:14" ht="17.100000000000001" customHeight="1">
      <c r="A29" s="35">
        <v>16</v>
      </c>
      <c r="B29" s="45" t="s">
        <v>52</v>
      </c>
      <c r="C29" s="45"/>
      <c r="D29" s="45"/>
      <c r="E29" s="45"/>
      <c r="F29" s="45"/>
      <c r="G29" s="41"/>
      <c r="H29" s="41"/>
      <c r="I29" s="41"/>
      <c r="J29" s="55"/>
      <c r="K29" s="55"/>
      <c r="L29" s="56"/>
      <c r="M29" s="55"/>
    </row>
    <row r="30" spans="1:14" ht="17.100000000000001" customHeight="1">
      <c r="A30" s="35">
        <v>17</v>
      </c>
      <c r="B30" s="45" t="s">
        <v>53</v>
      </c>
      <c r="C30" s="45">
        <v>1.097</v>
      </c>
      <c r="D30" s="45">
        <v>0.32700000000000001</v>
      </c>
      <c r="E30" s="45">
        <v>0.5</v>
      </c>
      <c r="F30" s="45">
        <v>2</v>
      </c>
      <c r="G30" s="41">
        <v>0.25</v>
      </c>
      <c r="H30" s="41">
        <v>0.5</v>
      </c>
      <c r="I30" s="41">
        <v>0.75</v>
      </c>
      <c r="J30" s="55">
        <v>1</v>
      </c>
      <c r="K30" s="55">
        <v>1</v>
      </c>
      <c r="L30" s="55">
        <v>1</v>
      </c>
      <c r="M30" s="55">
        <v>1</v>
      </c>
    </row>
    <row r="31" spans="1:14" ht="17.100000000000001" customHeight="1">
      <c r="A31" s="35">
        <v>18</v>
      </c>
      <c r="B31" s="57" t="s">
        <v>54</v>
      </c>
      <c r="C31" s="57">
        <f>C28+C29-C30</f>
        <v>-1.097</v>
      </c>
      <c r="D31" s="57">
        <f t="shared" ref="D31:M31" si="5">D28+D29-D30</f>
        <v>-0.32700000000000001</v>
      </c>
      <c r="E31" s="57">
        <f t="shared" si="5"/>
        <v>-0.5</v>
      </c>
      <c r="F31" s="57">
        <f t="shared" si="5"/>
        <v>-2</v>
      </c>
      <c r="G31" s="71">
        <f t="shared" si="5"/>
        <v>-0.25</v>
      </c>
      <c r="H31" s="71">
        <f t="shared" si="5"/>
        <v>-0.5</v>
      </c>
      <c r="I31" s="71">
        <f t="shared" si="5"/>
        <v>-0.75</v>
      </c>
      <c r="J31" s="57">
        <f t="shared" si="5"/>
        <v>-1</v>
      </c>
      <c r="K31" s="57">
        <f t="shared" si="5"/>
        <v>-1</v>
      </c>
      <c r="L31" s="57">
        <f t="shared" si="5"/>
        <v>-1</v>
      </c>
      <c r="M31" s="59">
        <f t="shared" si="5"/>
        <v>-1</v>
      </c>
    </row>
    <row r="32" spans="1:14" ht="17.100000000000001" customHeight="1">
      <c r="A32" s="35">
        <v>19</v>
      </c>
      <c r="B32" s="60" t="s">
        <v>55</v>
      </c>
      <c r="C32" s="52">
        <f t="shared" ref="C32:M32" si="6">C27+C31</f>
        <v>-150.70200000000003</v>
      </c>
      <c r="D32" s="52">
        <f t="shared" si="6"/>
        <v>-161.99700000000007</v>
      </c>
      <c r="E32" s="52">
        <f>E27+E31</f>
        <v>-349.19500000000016</v>
      </c>
      <c r="F32" s="52">
        <f t="shared" ref="F32:I32" si="7">F27+F31</f>
        <v>-432.4970000000003</v>
      </c>
      <c r="G32" s="70">
        <f t="shared" si="7"/>
        <v>-71.898615221152568</v>
      </c>
      <c r="H32" s="70">
        <f t="shared" si="7"/>
        <v>-143.79723044230514</v>
      </c>
      <c r="I32" s="70">
        <f t="shared" si="7"/>
        <v>-215.6958456634577</v>
      </c>
      <c r="J32" s="61">
        <f t="shared" si="6"/>
        <v>-287.59446088461027</v>
      </c>
      <c r="K32" s="61">
        <f t="shared" si="6"/>
        <v>-269.57645779786981</v>
      </c>
      <c r="L32" s="62">
        <f t="shared" si="6"/>
        <v>-291.07490966484011</v>
      </c>
      <c r="M32" s="61">
        <f t="shared" si="6"/>
        <v>-325.77776795021055</v>
      </c>
    </row>
    <row r="33" spans="1:13" customFormat="1" ht="17.100000000000001" customHeight="1">
      <c r="A33" s="35">
        <v>20</v>
      </c>
      <c r="B33" s="4" t="s">
        <v>56</v>
      </c>
      <c r="C33" s="4"/>
      <c r="D33" s="4"/>
      <c r="E33" s="4">
        <v>53.212000000000003</v>
      </c>
      <c r="F33" s="4">
        <v>51.924999999999997</v>
      </c>
      <c r="G33" s="41">
        <v>13.303000000000001</v>
      </c>
      <c r="H33" s="41">
        <v>26.606000000000002</v>
      </c>
      <c r="I33" s="41">
        <v>39.909000000000006</v>
      </c>
      <c r="J33" s="4">
        <v>53.212000000000003</v>
      </c>
      <c r="K33" s="4">
        <v>53.212000000000003</v>
      </c>
      <c r="L33" s="4">
        <v>53.212000000000003</v>
      </c>
      <c r="M33" s="3">
        <v>53.212000000000003</v>
      </c>
    </row>
    <row r="34" spans="1:13" customFormat="1" ht="17.100000000000001" customHeight="1">
      <c r="A34" s="35">
        <v>21</v>
      </c>
      <c r="B34" s="45" t="s">
        <v>57</v>
      </c>
      <c r="C34" s="45">
        <v>0.85799999999999998</v>
      </c>
      <c r="D34" s="45">
        <v>0.67400000000000004</v>
      </c>
      <c r="E34" s="45">
        <v>0.75</v>
      </c>
      <c r="F34" s="45">
        <v>0.75</v>
      </c>
      <c r="G34" s="41">
        <v>0.1875</v>
      </c>
      <c r="H34" s="41">
        <v>0.375</v>
      </c>
      <c r="I34" s="41">
        <v>0.5625</v>
      </c>
      <c r="J34" s="45">
        <v>0.75</v>
      </c>
      <c r="K34" s="45">
        <v>0.75</v>
      </c>
      <c r="L34" s="45">
        <v>0.75</v>
      </c>
      <c r="M34" s="44">
        <v>0.75</v>
      </c>
    </row>
    <row r="35" spans="1:13" customFormat="1" ht="17.100000000000001" customHeight="1">
      <c r="A35" s="63">
        <v>22</v>
      </c>
      <c r="B35" s="64" t="s">
        <v>58</v>
      </c>
      <c r="C35" s="64">
        <f t="shared" ref="C35:M35" si="8">C32+C33-C34</f>
        <v>-151.56000000000003</v>
      </c>
      <c r="D35" s="64">
        <f t="shared" si="8"/>
        <v>-162.67100000000008</v>
      </c>
      <c r="E35" s="64">
        <f t="shared" si="8"/>
        <v>-296.73300000000017</v>
      </c>
      <c r="F35" s="64">
        <f t="shared" si="8"/>
        <v>-381.32200000000029</v>
      </c>
      <c r="G35" s="72">
        <f t="shared" si="8"/>
        <v>-58.78311522115257</v>
      </c>
      <c r="H35" s="72">
        <f t="shared" si="8"/>
        <v>-117.56623044230514</v>
      </c>
      <c r="I35" s="72">
        <f t="shared" si="8"/>
        <v>-176.34934566345771</v>
      </c>
      <c r="J35" s="66">
        <f t="shared" si="8"/>
        <v>-235.13246088461028</v>
      </c>
      <c r="K35" s="66">
        <f t="shared" si="8"/>
        <v>-217.11445779786982</v>
      </c>
      <c r="L35" s="67">
        <f t="shared" si="8"/>
        <v>-238.61290966484012</v>
      </c>
      <c r="M35" s="66">
        <f t="shared" si="8"/>
        <v>-273.31576795021056</v>
      </c>
    </row>
  </sheetData>
  <mergeCells count="14">
    <mergeCell ref="A1:E3"/>
    <mergeCell ref="F1:J3"/>
    <mergeCell ref="K1:N3"/>
    <mergeCell ref="A4:M4"/>
    <mergeCell ref="A5:B5"/>
    <mergeCell ref="C5:M5"/>
    <mergeCell ref="A8:B8"/>
    <mergeCell ref="B10:M10"/>
    <mergeCell ref="A6:B6"/>
    <mergeCell ref="G6:M6"/>
    <mergeCell ref="A7:B7"/>
    <mergeCell ref="C7:F7"/>
    <mergeCell ref="G7:K7"/>
    <mergeCell ref="L7:M7"/>
  </mergeCells>
  <pageMargins left="0.51181102362204722" right="0" top="0.39370078740157483" bottom="0.19685039370078741" header="0.31496062992125984" footer="0.31496062992125984"/>
  <pageSetup paperSize="9" scale="70" orientation="landscape" r:id="rId1"/>
  <headerFooter>
    <oddHeader>&amp;RBlatt 2a.1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Layout" zoomScale="60" zoomScaleNormal="100" zoomScalePageLayoutView="60" workbookViewId="0">
      <selection activeCell="E48" sqref="E48"/>
    </sheetView>
  </sheetViews>
  <sheetFormatPr baseColWidth="10" defaultRowHeight="15"/>
  <cols>
    <col min="1" max="1" width="6.28515625" customWidth="1"/>
    <col min="2" max="2" width="30.28515625" customWidth="1"/>
    <col min="3" max="13" width="12.7109375" customWidth="1"/>
    <col min="14" max="14" width="3.140625" customWidth="1"/>
    <col min="15" max="15" width="11.42578125" style="80"/>
  </cols>
  <sheetData>
    <row r="1" spans="1:15" ht="15" customHeight="1">
      <c r="A1" s="470" t="s">
        <v>0</v>
      </c>
      <c r="B1" s="470"/>
      <c r="C1" s="470"/>
      <c r="D1" s="470"/>
      <c r="E1" s="471"/>
      <c r="F1" s="500"/>
      <c r="G1" s="500"/>
      <c r="H1" s="500"/>
      <c r="I1" s="500"/>
      <c r="J1" s="500"/>
      <c r="K1" s="502" t="s">
        <v>1</v>
      </c>
      <c r="L1" s="502"/>
      <c r="M1" s="502"/>
      <c r="N1" s="502"/>
    </row>
    <row r="2" spans="1:15">
      <c r="A2" s="470"/>
      <c r="B2" s="470"/>
      <c r="C2" s="470"/>
      <c r="D2" s="470"/>
      <c r="E2" s="471"/>
      <c r="F2" s="500"/>
      <c r="G2" s="500"/>
      <c r="H2" s="500"/>
      <c r="I2" s="500"/>
      <c r="J2" s="500"/>
      <c r="K2" s="502"/>
      <c r="L2" s="502"/>
      <c r="M2" s="502"/>
      <c r="N2" s="502"/>
    </row>
    <row r="3" spans="1:15">
      <c r="A3" s="472"/>
      <c r="B3" s="472"/>
      <c r="C3" s="472"/>
      <c r="D3" s="472"/>
      <c r="E3" s="473"/>
      <c r="F3" s="501"/>
      <c r="G3" s="501"/>
      <c r="H3" s="501"/>
      <c r="I3" s="501"/>
      <c r="J3" s="501"/>
      <c r="K3" s="502"/>
      <c r="L3" s="502"/>
      <c r="M3" s="502"/>
      <c r="N3" s="502"/>
    </row>
    <row r="4" spans="1:15" ht="18">
      <c r="A4" s="477" t="s">
        <v>2</v>
      </c>
      <c r="B4" s="478"/>
      <c r="C4" s="478"/>
      <c r="D4" s="478"/>
      <c r="E4" s="478"/>
      <c r="F4" s="478"/>
      <c r="G4" s="478"/>
      <c r="H4" s="478"/>
      <c r="I4" s="478"/>
      <c r="J4" s="478"/>
      <c r="K4" s="478"/>
      <c r="L4" s="478"/>
      <c r="M4" s="479"/>
    </row>
    <row r="5" spans="1:15" ht="15.75" customHeight="1">
      <c r="A5" s="480" t="s">
        <v>3</v>
      </c>
      <c r="B5" s="481"/>
      <c r="C5" s="482" t="s">
        <v>4</v>
      </c>
      <c r="D5" s="482"/>
      <c r="E5" s="482"/>
      <c r="F5" s="482"/>
      <c r="G5" s="482"/>
      <c r="H5" s="482"/>
      <c r="I5" s="482"/>
      <c r="J5" s="483"/>
      <c r="K5" s="483"/>
      <c r="L5" s="483"/>
      <c r="M5" s="484"/>
    </row>
    <row r="6" spans="1:15" ht="15" customHeight="1">
      <c r="A6" s="480" t="s">
        <v>5</v>
      </c>
      <c r="B6" s="481"/>
      <c r="C6" s="24"/>
      <c r="D6" s="24"/>
      <c r="E6" s="24"/>
      <c r="F6" s="24"/>
      <c r="G6" s="485" t="s">
        <v>6</v>
      </c>
      <c r="H6" s="486"/>
      <c r="I6" s="486"/>
      <c r="J6" s="486"/>
      <c r="K6" s="486"/>
      <c r="L6" s="486"/>
      <c r="M6" s="487"/>
    </row>
    <row r="7" spans="1:15" ht="15" customHeight="1">
      <c r="A7" s="488"/>
      <c r="B7" s="489"/>
      <c r="C7" s="490" t="s">
        <v>64</v>
      </c>
      <c r="D7" s="491"/>
      <c r="E7" s="491"/>
      <c r="F7" s="492"/>
      <c r="G7" s="493" t="s">
        <v>8</v>
      </c>
      <c r="H7" s="494"/>
      <c r="I7" s="495"/>
      <c r="J7" s="495"/>
      <c r="K7" s="496"/>
      <c r="L7" s="493" t="s">
        <v>9</v>
      </c>
      <c r="M7" s="497"/>
    </row>
    <row r="8" spans="1:15">
      <c r="A8" s="498" t="s">
        <v>10</v>
      </c>
      <c r="B8" s="499"/>
      <c r="C8" s="26" t="s">
        <v>11</v>
      </c>
      <c r="D8" s="26" t="s">
        <v>11</v>
      </c>
      <c r="E8" s="26" t="s">
        <v>12</v>
      </c>
      <c r="F8" s="26" t="s">
        <v>13</v>
      </c>
      <c r="G8" s="27" t="s">
        <v>14</v>
      </c>
      <c r="H8" s="27" t="s">
        <v>15</v>
      </c>
      <c r="I8" s="27" t="s">
        <v>16</v>
      </c>
      <c r="J8" s="27" t="s">
        <v>17</v>
      </c>
      <c r="K8" s="26" t="s">
        <v>18</v>
      </c>
      <c r="L8" s="28" t="s">
        <v>18</v>
      </c>
      <c r="M8" s="29" t="s">
        <v>18</v>
      </c>
    </row>
    <row r="9" spans="1:15">
      <c r="A9" s="30"/>
      <c r="B9" s="10"/>
      <c r="C9" s="31">
        <v>2015</v>
      </c>
      <c r="D9" s="31">
        <v>2016</v>
      </c>
      <c r="E9" s="31">
        <v>2017</v>
      </c>
      <c r="F9" s="31">
        <v>2017</v>
      </c>
      <c r="G9" s="32">
        <v>2018</v>
      </c>
      <c r="H9" s="32">
        <v>2018</v>
      </c>
      <c r="I9" s="32">
        <v>2018</v>
      </c>
      <c r="J9" s="32">
        <v>2018</v>
      </c>
      <c r="K9" s="33">
        <v>2019</v>
      </c>
      <c r="L9" s="11">
        <v>2020</v>
      </c>
      <c r="M9" s="33">
        <v>2021</v>
      </c>
    </row>
    <row r="10" spans="1:15" ht="15" customHeight="1">
      <c r="A10" s="34" t="s">
        <v>19</v>
      </c>
      <c r="B10" s="467" t="s">
        <v>20</v>
      </c>
      <c r="C10" s="468"/>
      <c r="D10" s="468"/>
      <c r="E10" s="468"/>
      <c r="F10" s="468"/>
      <c r="G10" s="468"/>
      <c r="H10" s="468"/>
      <c r="I10" s="468"/>
      <c r="J10" s="468"/>
      <c r="K10" s="468"/>
      <c r="L10" s="468"/>
      <c r="M10" s="469"/>
    </row>
    <row r="11" spans="1:15" ht="17.100000000000001" customHeight="1">
      <c r="A11" s="35">
        <v>1</v>
      </c>
      <c r="B11" s="36" t="s">
        <v>21</v>
      </c>
      <c r="C11" s="36">
        <v>15366.851999999999</v>
      </c>
      <c r="D11" s="36">
        <v>17564.129000000001</v>
      </c>
      <c r="E11" s="36">
        <v>19725.603999999999</v>
      </c>
      <c r="F11" s="36">
        <v>18134.881000000001</v>
      </c>
      <c r="G11" s="68">
        <v>4683.5</v>
      </c>
      <c r="H11" s="68">
        <v>9367</v>
      </c>
      <c r="I11" s="68">
        <v>14050.5</v>
      </c>
      <c r="J11" s="36">
        <v>18734</v>
      </c>
      <c r="K11" s="36">
        <v>18829</v>
      </c>
      <c r="L11" s="36">
        <v>18978</v>
      </c>
      <c r="M11" s="38">
        <v>19127</v>
      </c>
    </row>
    <row r="12" spans="1:15" s="12" customFormat="1" ht="17.100000000000001" customHeight="1">
      <c r="A12" s="39" t="s">
        <v>22</v>
      </c>
      <c r="B12" s="40" t="s">
        <v>23</v>
      </c>
      <c r="C12" s="41">
        <v>10960.085999999999</v>
      </c>
      <c r="D12" s="41">
        <v>12803.28</v>
      </c>
      <c r="E12" s="41">
        <v>15478.48</v>
      </c>
      <c r="F12" s="41">
        <v>14251.343999999999</v>
      </c>
      <c r="G12" s="41">
        <v>3538.25</v>
      </c>
      <c r="H12" s="41">
        <v>7076.5</v>
      </c>
      <c r="I12" s="41">
        <v>10614.75</v>
      </c>
      <c r="J12" s="74">
        <v>14153</v>
      </c>
      <c r="K12" s="74">
        <v>14298</v>
      </c>
      <c r="L12" s="75">
        <v>14447</v>
      </c>
      <c r="M12" s="75">
        <v>14596</v>
      </c>
      <c r="O12" s="81"/>
    </row>
    <row r="13" spans="1:15" s="12" customFormat="1" ht="17.100000000000001" customHeight="1">
      <c r="A13" s="43" t="s">
        <v>24</v>
      </c>
      <c r="B13" s="40" t="s">
        <v>25</v>
      </c>
      <c r="C13" s="41">
        <v>2681.1529999999998</v>
      </c>
      <c r="D13" s="41">
        <v>2651.3670000000002</v>
      </c>
      <c r="E13" s="41">
        <v>2711.0360000000001</v>
      </c>
      <c r="F13" s="41">
        <v>2681.152</v>
      </c>
      <c r="G13" s="41">
        <v>677.75</v>
      </c>
      <c r="H13" s="41">
        <v>1355.5</v>
      </c>
      <c r="I13" s="41">
        <v>2033.25</v>
      </c>
      <c r="J13" s="77">
        <v>2711</v>
      </c>
      <c r="K13" s="77">
        <v>2711</v>
      </c>
      <c r="L13" s="82">
        <v>2711</v>
      </c>
      <c r="M13" s="82">
        <v>2711</v>
      </c>
      <c r="O13" s="81"/>
    </row>
    <row r="14" spans="1:15" s="12" customFormat="1" ht="17.100000000000001" customHeight="1">
      <c r="A14" s="43" t="s">
        <v>26</v>
      </c>
      <c r="B14" s="40" t="s">
        <v>33</v>
      </c>
      <c r="C14" s="41">
        <v>255.84700000000001</v>
      </c>
      <c r="D14" s="41">
        <v>207.702</v>
      </c>
      <c r="E14" s="41">
        <v>153.83799999999999</v>
      </c>
      <c r="F14" s="41">
        <v>226.95500000000001</v>
      </c>
      <c r="G14" s="41">
        <v>40</v>
      </c>
      <c r="H14" s="41">
        <v>80</v>
      </c>
      <c r="I14" s="41">
        <v>120</v>
      </c>
      <c r="J14" s="77">
        <v>160</v>
      </c>
      <c r="K14" s="77">
        <v>160</v>
      </c>
      <c r="L14" s="82">
        <v>160</v>
      </c>
      <c r="M14" s="82">
        <v>160</v>
      </c>
      <c r="O14" s="81"/>
    </row>
    <row r="15" spans="1:15" s="12" customFormat="1" ht="17.100000000000001" customHeight="1">
      <c r="A15" s="43" t="s">
        <v>28</v>
      </c>
      <c r="B15" s="40" t="s">
        <v>35</v>
      </c>
      <c r="C15" s="41">
        <v>450.31200000000001</v>
      </c>
      <c r="D15" s="41">
        <v>371.149</v>
      </c>
      <c r="E15" s="41">
        <v>290</v>
      </c>
      <c r="F15" s="41">
        <v>155</v>
      </c>
      <c r="G15" s="41">
        <v>85</v>
      </c>
      <c r="H15" s="41">
        <v>170</v>
      </c>
      <c r="I15" s="41">
        <v>255</v>
      </c>
      <c r="J15" s="77">
        <v>340</v>
      </c>
      <c r="K15" s="77">
        <v>340</v>
      </c>
      <c r="L15" s="82">
        <v>340</v>
      </c>
      <c r="M15" s="82">
        <v>340</v>
      </c>
      <c r="O15" s="81"/>
    </row>
    <row r="16" spans="1:15" s="12" customFormat="1" ht="17.100000000000001" customHeight="1">
      <c r="A16" s="43" t="s">
        <v>30</v>
      </c>
      <c r="B16" s="40" t="s">
        <v>37</v>
      </c>
      <c r="C16" s="41">
        <f>SUM(C17:C18)</f>
        <v>1019.454</v>
      </c>
      <c r="D16" s="41">
        <f t="shared" ref="D16:M16" si="0">SUM(D17:D18)</f>
        <v>1530.6310000000001</v>
      </c>
      <c r="E16" s="41">
        <f t="shared" si="0"/>
        <v>1092.25</v>
      </c>
      <c r="F16" s="41">
        <f t="shared" si="0"/>
        <v>820.43</v>
      </c>
      <c r="G16" s="41">
        <f t="shared" si="0"/>
        <v>342.5</v>
      </c>
      <c r="H16" s="41">
        <f t="shared" si="0"/>
        <v>685</v>
      </c>
      <c r="I16" s="41">
        <f t="shared" si="0"/>
        <v>1027.5</v>
      </c>
      <c r="J16" s="41">
        <f t="shared" si="0"/>
        <v>1370</v>
      </c>
      <c r="K16" s="41">
        <f t="shared" si="0"/>
        <v>1320</v>
      </c>
      <c r="L16" s="42">
        <f t="shared" si="0"/>
        <v>1320</v>
      </c>
      <c r="M16" s="82">
        <f t="shared" si="0"/>
        <v>1320</v>
      </c>
      <c r="O16" s="81"/>
    </row>
    <row r="17" spans="1:15" s="12" customFormat="1" ht="17.100000000000001" customHeight="1">
      <c r="A17" s="43"/>
      <c r="B17" s="83" t="s">
        <v>65</v>
      </c>
      <c r="C17" s="41">
        <v>988.77499999999998</v>
      </c>
      <c r="D17" s="41">
        <v>1513.085</v>
      </c>
      <c r="E17" s="41">
        <v>1073</v>
      </c>
      <c r="F17" s="41">
        <v>800</v>
      </c>
      <c r="G17" s="41">
        <v>337.5</v>
      </c>
      <c r="H17" s="41">
        <v>675</v>
      </c>
      <c r="I17" s="41">
        <v>1012.5</v>
      </c>
      <c r="J17" s="77">
        <v>1350</v>
      </c>
      <c r="K17" s="77">
        <v>1300</v>
      </c>
      <c r="L17" s="77">
        <v>1300</v>
      </c>
      <c r="M17" s="77">
        <v>1300</v>
      </c>
      <c r="O17" s="81"/>
    </row>
    <row r="18" spans="1:15" s="12" customFormat="1" ht="17.100000000000001" customHeight="1">
      <c r="A18" s="43"/>
      <c r="B18" s="83" t="s">
        <v>66</v>
      </c>
      <c r="C18" s="41">
        <v>30.678999999999998</v>
      </c>
      <c r="D18" s="41">
        <v>17.545999999999999</v>
      </c>
      <c r="E18" s="41">
        <v>19.25</v>
      </c>
      <c r="F18" s="41">
        <v>20.43</v>
      </c>
      <c r="G18" s="41">
        <v>5</v>
      </c>
      <c r="H18" s="41">
        <v>10</v>
      </c>
      <c r="I18" s="41">
        <v>15</v>
      </c>
      <c r="J18" s="77">
        <v>20</v>
      </c>
      <c r="K18" s="77">
        <v>20</v>
      </c>
      <c r="L18" s="82">
        <v>20</v>
      </c>
      <c r="M18" s="82">
        <v>20</v>
      </c>
      <c r="O18" s="81"/>
    </row>
    <row r="19" spans="1:15" s="14" customFormat="1" ht="17.100000000000001" customHeight="1">
      <c r="A19" s="35">
        <v>2</v>
      </c>
      <c r="B19" s="44" t="s">
        <v>38</v>
      </c>
      <c r="C19" s="45">
        <v>681.96100000000001</v>
      </c>
      <c r="D19" s="45"/>
      <c r="E19" s="45"/>
      <c r="F19" s="45"/>
      <c r="G19" s="41"/>
      <c r="H19" s="41"/>
      <c r="I19" s="41"/>
      <c r="J19" s="55"/>
      <c r="K19" s="55"/>
      <c r="L19" s="56"/>
      <c r="M19" s="55"/>
      <c r="N19" s="84"/>
      <c r="O19" s="85"/>
    </row>
    <row r="20" spans="1:15" ht="17.100000000000001" customHeight="1">
      <c r="A20" s="35">
        <v>3</v>
      </c>
      <c r="B20" s="44" t="s">
        <v>39</v>
      </c>
      <c r="C20" s="45">
        <v>1.0999999999999999E-2</v>
      </c>
      <c r="D20" s="45">
        <v>-5.8490000000000002</v>
      </c>
      <c r="E20" s="45"/>
      <c r="F20" s="45"/>
      <c r="G20" s="41"/>
      <c r="H20" s="41"/>
      <c r="I20" s="41"/>
      <c r="J20" s="41"/>
      <c r="K20" s="41"/>
      <c r="L20" s="41"/>
      <c r="M20" s="42"/>
      <c r="N20" s="86"/>
    </row>
    <row r="21" spans="1:15" ht="17.100000000000001" customHeight="1">
      <c r="A21" s="35">
        <v>4</v>
      </c>
      <c r="B21" s="45" t="s">
        <v>40</v>
      </c>
      <c r="C21" s="45">
        <v>163.12</v>
      </c>
      <c r="D21" s="45">
        <v>159.61000000000001</v>
      </c>
      <c r="E21" s="45">
        <v>137.45400000000001</v>
      </c>
      <c r="F21" s="45">
        <v>116.881</v>
      </c>
      <c r="G21" s="41">
        <v>37.5</v>
      </c>
      <c r="H21" s="41">
        <v>75</v>
      </c>
      <c r="I21" s="41">
        <v>112.5</v>
      </c>
      <c r="J21" s="55">
        <v>150</v>
      </c>
      <c r="K21" s="55">
        <v>150</v>
      </c>
      <c r="L21" s="55">
        <v>150</v>
      </c>
      <c r="M21" s="55">
        <v>150</v>
      </c>
    </row>
    <row r="22" spans="1:15" ht="17.100000000000001" customHeight="1">
      <c r="A22" s="35">
        <v>5</v>
      </c>
      <c r="B22" s="47" t="s">
        <v>41</v>
      </c>
      <c r="C22" s="47">
        <f t="shared" ref="C22:M22" si="1">C11+C19+C20+C21</f>
        <v>16211.944</v>
      </c>
      <c r="D22" s="47">
        <f t="shared" si="1"/>
        <v>17717.890000000003</v>
      </c>
      <c r="E22" s="47">
        <f t="shared" si="1"/>
        <v>19863.058000000001</v>
      </c>
      <c r="F22" s="47">
        <f t="shared" si="1"/>
        <v>18251.762000000002</v>
      </c>
      <c r="G22" s="69">
        <f t="shared" si="1"/>
        <v>4721</v>
      </c>
      <c r="H22" s="69">
        <f t="shared" si="1"/>
        <v>9442</v>
      </c>
      <c r="I22" s="69">
        <f t="shared" si="1"/>
        <v>14163</v>
      </c>
      <c r="J22" s="47">
        <f t="shared" si="1"/>
        <v>18884</v>
      </c>
      <c r="K22" s="47">
        <f t="shared" si="1"/>
        <v>18979</v>
      </c>
      <c r="L22" s="47">
        <f t="shared" si="1"/>
        <v>19128</v>
      </c>
      <c r="M22" s="49">
        <f t="shared" si="1"/>
        <v>19277</v>
      </c>
    </row>
    <row r="23" spans="1:15" ht="17.100000000000001" customHeight="1">
      <c r="A23" s="35">
        <v>6</v>
      </c>
      <c r="B23" s="45" t="s">
        <v>42</v>
      </c>
      <c r="C23" s="45">
        <v>968.20699999999999</v>
      </c>
      <c r="D23" s="45">
        <v>995.64300000000003</v>
      </c>
      <c r="E23" s="45">
        <v>1222.5730000000001</v>
      </c>
      <c r="F23" s="45">
        <v>1201.741</v>
      </c>
      <c r="G23" s="41">
        <v>250</v>
      </c>
      <c r="H23" s="41">
        <v>500</v>
      </c>
      <c r="I23" s="41">
        <v>750</v>
      </c>
      <c r="J23" s="55">
        <v>1000</v>
      </c>
      <c r="K23" s="55">
        <v>1020</v>
      </c>
      <c r="L23" s="55">
        <v>1030.2</v>
      </c>
      <c r="M23" s="55">
        <v>1040.502</v>
      </c>
    </row>
    <row r="24" spans="1:15" ht="17.100000000000001" customHeight="1">
      <c r="A24" s="35">
        <v>7</v>
      </c>
      <c r="B24" s="45" t="s">
        <v>43</v>
      </c>
      <c r="C24" s="45">
        <v>2353.9830000000002</v>
      </c>
      <c r="D24" s="45">
        <v>3353.8739999999998</v>
      </c>
      <c r="E24" s="45">
        <v>4721.5600000000004</v>
      </c>
      <c r="F24" s="45">
        <v>2530.848</v>
      </c>
      <c r="G24" s="41">
        <v>1035</v>
      </c>
      <c r="H24" s="41">
        <v>2070</v>
      </c>
      <c r="I24" s="41">
        <v>3105</v>
      </c>
      <c r="J24" s="55">
        <v>4140</v>
      </c>
      <c r="K24" s="55">
        <v>4181.3999999999996</v>
      </c>
      <c r="L24" s="55">
        <v>4223.2139999999999</v>
      </c>
      <c r="M24" s="55">
        <v>4261.44614</v>
      </c>
    </row>
    <row r="25" spans="1:15" s="14" customFormat="1" ht="17.100000000000001" customHeight="1">
      <c r="A25" s="35">
        <v>8</v>
      </c>
      <c r="B25" s="45" t="s">
        <v>44</v>
      </c>
      <c r="C25" s="45">
        <v>8233.6049999999996</v>
      </c>
      <c r="D25" s="45">
        <v>8849.7469999999994</v>
      </c>
      <c r="E25" s="45">
        <v>9244.3997437976195</v>
      </c>
      <c r="F25" s="45">
        <v>9173.3289999999997</v>
      </c>
      <c r="G25" s="41">
        <v>2316.6378380757023</v>
      </c>
      <c r="H25" s="41">
        <v>4633.2756761514047</v>
      </c>
      <c r="I25" s="41">
        <v>6949.913514227107</v>
      </c>
      <c r="J25" s="55">
        <v>9266.5513523028094</v>
      </c>
      <c r="K25" s="55">
        <v>9249.5595442623398</v>
      </c>
      <c r="L25" s="55">
        <v>9343.7650967997397</v>
      </c>
      <c r="M25" s="55">
        <v>9376.4653733183204</v>
      </c>
      <c r="O25" s="85"/>
    </row>
    <row r="26" spans="1:15" ht="17.100000000000001" customHeight="1">
      <c r="A26" s="35">
        <v>9</v>
      </c>
      <c r="B26" s="45" t="s">
        <v>45</v>
      </c>
      <c r="C26" s="45">
        <v>835.16099999999994</v>
      </c>
      <c r="D26" s="45">
        <v>889.71100000000001</v>
      </c>
      <c r="E26" s="45">
        <v>941.63099999999997</v>
      </c>
      <c r="F26" s="45">
        <v>936.44899999999996</v>
      </c>
      <c r="G26" s="41">
        <v>213.5</v>
      </c>
      <c r="H26" s="41">
        <v>427</v>
      </c>
      <c r="I26" s="41">
        <v>640.5</v>
      </c>
      <c r="J26" s="55">
        <v>854</v>
      </c>
      <c r="K26" s="55">
        <v>895</v>
      </c>
      <c r="L26" s="55">
        <v>813</v>
      </c>
      <c r="M26" s="55">
        <v>765</v>
      </c>
    </row>
    <row r="27" spans="1:15" ht="17.100000000000001" customHeight="1">
      <c r="A27" s="35">
        <v>10</v>
      </c>
      <c r="B27" s="45" t="s">
        <v>46</v>
      </c>
      <c r="C27" s="45">
        <v>1107.73</v>
      </c>
      <c r="D27" s="45">
        <v>1218.4860000000001</v>
      </c>
      <c r="E27" s="45">
        <v>1009</v>
      </c>
      <c r="F27" s="45">
        <v>1137.96</v>
      </c>
      <c r="G27" s="41">
        <v>260</v>
      </c>
      <c r="H27" s="41">
        <v>520</v>
      </c>
      <c r="I27" s="41">
        <v>780</v>
      </c>
      <c r="J27" s="55">
        <v>1040</v>
      </c>
      <c r="K27" s="55">
        <v>1160</v>
      </c>
      <c r="L27" s="55">
        <v>1171.5999999999999</v>
      </c>
      <c r="M27" s="55">
        <v>1183.316</v>
      </c>
      <c r="N27" s="86"/>
    </row>
    <row r="28" spans="1:15" s="14" customFormat="1" ht="17.100000000000001" customHeight="1">
      <c r="A28" s="35">
        <v>11</v>
      </c>
      <c r="B28" s="45" t="s">
        <v>47</v>
      </c>
      <c r="C28" s="45">
        <v>1442.4749999999999</v>
      </c>
      <c r="D28" s="45">
        <v>1222.4690000000001</v>
      </c>
      <c r="E28" s="45">
        <v>1300</v>
      </c>
      <c r="F28" s="45">
        <v>1764.511</v>
      </c>
      <c r="G28" s="41">
        <v>335</v>
      </c>
      <c r="H28" s="41">
        <v>670</v>
      </c>
      <c r="I28" s="41">
        <v>1005</v>
      </c>
      <c r="J28" s="55">
        <v>1340</v>
      </c>
      <c r="K28" s="55">
        <v>1248</v>
      </c>
      <c r="L28" s="55">
        <v>1300</v>
      </c>
      <c r="M28" s="55">
        <v>1369</v>
      </c>
      <c r="O28" s="85"/>
    </row>
    <row r="29" spans="1:15" ht="17.100000000000001" customHeight="1">
      <c r="A29" s="35">
        <v>12</v>
      </c>
      <c r="B29" s="45" t="s">
        <v>48</v>
      </c>
      <c r="C29" s="45">
        <v>1032.99</v>
      </c>
      <c r="D29" s="45">
        <v>943.52</v>
      </c>
      <c r="E29" s="45">
        <v>1029.6010000000001</v>
      </c>
      <c r="F29" s="45">
        <v>1122.4839999999999</v>
      </c>
      <c r="G29" s="41">
        <v>252.5</v>
      </c>
      <c r="H29" s="41">
        <v>505</v>
      </c>
      <c r="I29" s="41">
        <v>757.5</v>
      </c>
      <c r="J29" s="55">
        <v>1010</v>
      </c>
      <c r="K29" s="55">
        <v>1010</v>
      </c>
      <c r="L29" s="55">
        <v>1010</v>
      </c>
      <c r="M29" s="55">
        <v>1010</v>
      </c>
    </row>
    <row r="30" spans="1:15" ht="17.100000000000001" customHeight="1">
      <c r="A30" s="35">
        <v>13</v>
      </c>
      <c r="B30" s="47" t="s">
        <v>49</v>
      </c>
      <c r="C30" s="47">
        <f t="shared" ref="C30:M30" si="2">SUM(C23:C29)</f>
        <v>15974.151</v>
      </c>
      <c r="D30" s="47">
        <f>SUM(D23:D29)</f>
        <v>17473.45</v>
      </c>
      <c r="E30" s="47">
        <f>SUM(E23:E29)</f>
        <v>19468.764743797616</v>
      </c>
      <c r="F30" s="47">
        <f t="shared" ref="F30:I30" si="3">SUM(F23:F29)</f>
        <v>17867.322</v>
      </c>
      <c r="G30" s="69">
        <f t="shared" si="3"/>
        <v>4662.6378380757023</v>
      </c>
      <c r="H30" s="69">
        <f t="shared" si="3"/>
        <v>9325.2756761514047</v>
      </c>
      <c r="I30" s="69">
        <f t="shared" si="3"/>
        <v>13987.913514227108</v>
      </c>
      <c r="J30" s="50">
        <f t="shared" si="2"/>
        <v>18650.551352302809</v>
      </c>
      <c r="K30" s="50">
        <f t="shared" si="2"/>
        <v>18763.959544262339</v>
      </c>
      <c r="L30" s="51">
        <f t="shared" si="2"/>
        <v>18891.779096799739</v>
      </c>
      <c r="M30" s="50">
        <f t="shared" si="2"/>
        <v>19005.729513318322</v>
      </c>
    </row>
    <row r="31" spans="1:15" ht="17.100000000000001" customHeight="1">
      <c r="A31" s="35">
        <v>14</v>
      </c>
      <c r="B31" s="52" t="s">
        <v>50</v>
      </c>
      <c r="C31" s="52">
        <f>C22-C30</f>
        <v>237.79299999999967</v>
      </c>
      <c r="D31" s="52">
        <f t="shared" ref="D31:M31" si="4">D22-D30</f>
        <v>244.44000000000233</v>
      </c>
      <c r="E31" s="52">
        <f t="shared" si="4"/>
        <v>394.29325620238524</v>
      </c>
      <c r="F31" s="52">
        <f t="shared" si="4"/>
        <v>384.44000000000233</v>
      </c>
      <c r="G31" s="70">
        <f t="shared" si="4"/>
        <v>58.362161924297652</v>
      </c>
      <c r="H31" s="70">
        <f t="shared" si="4"/>
        <v>116.7243238485953</v>
      </c>
      <c r="I31" s="70">
        <f t="shared" si="4"/>
        <v>175.08648577289205</v>
      </c>
      <c r="J31" s="52">
        <f t="shared" si="4"/>
        <v>233.44864769719061</v>
      </c>
      <c r="K31" s="52">
        <f t="shared" si="4"/>
        <v>215.04045573766052</v>
      </c>
      <c r="L31" s="52">
        <f t="shared" si="4"/>
        <v>236.22090320026109</v>
      </c>
      <c r="M31" s="54">
        <f t="shared" si="4"/>
        <v>271.27048668167845</v>
      </c>
    </row>
    <row r="32" spans="1:15" ht="17.100000000000001" customHeight="1">
      <c r="A32" s="35">
        <v>15</v>
      </c>
      <c r="B32" s="45" t="s">
        <v>51</v>
      </c>
      <c r="C32" s="45"/>
      <c r="D32" s="45"/>
      <c r="E32" s="45"/>
      <c r="F32" s="45"/>
      <c r="G32" s="41"/>
      <c r="H32" s="41"/>
      <c r="I32" s="41"/>
      <c r="J32" s="55"/>
      <c r="K32" s="55"/>
      <c r="L32" s="56"/>
      <c r="M32" s="55"/>
    </row>
    <row r="33" spans="1:13" customFormat="1" ht="17.100000000000001" customHeight="1">
      <c r="A33" s="35">
        <v>16</v>
      </c>
      <c r="B33" s="45" t="s">
        <v>52</v>
      </c>
      <c r="C33" s="45">
        <v>7.6999999999999999E-2</v>
      </c>
      <c r="D33" s="45"/>
      <c r="E33" s="45">
        <v>1</v>
      </c>
      <c r="F33" s="45">
        <v>1</v>
      </c>
      <c r="G33" s="41">
        <v>0.25</v>
      </c>
      <c r="H33" s="41">
        <v>0.5</v>
      </c>
      <c r="I33" s="41">
        <v>0.75</v>
      </c>
      <c r="J33" s="55">
        <v>1</v>
      </c>
      <c r="K33" s="55">
        <v>1</v>
      </c>
      <c r="L33" s="55">
        <v>1</v>
      </c>
      <c r="M33" s="55">
        <v>1</v>
      </c>
    </row>
    <row r="34" spans="1:13" customFormat="1" ht="17.100000000000001" customHeight="1">
      <c r="A34" s="35">
        <v>17</v>
      </c>
      <c r="B34" s="45" t="s">
        <v>53</v>
      </c>
      <c r="C34" s="45">
        <v>11.314</v>
      </c>
      <c r="D34" s="45">
        <v>11.826000000000001</v>
      </c>
      <c r="E34" s="45">
        <v>11.9</v>
      </c>
      <c r="F34" s="45">
        <v>13.3</v>
      </c>
      <c r="G34" s="41">
        <v>3</v>
      </c>
      <c r="H34" s="41">
        <v>6</v>
      </c>
      <c r="I34" s="41">
        <v>9</v>
      </c>
      <c r="J34" s="55">
        <v>12</v>
      </c>
      <c r="K34" s="55">
        <v>12</v>
      </c>
      <c r="L34" s="55">
        <v>12</v>
      </c>
      <c r="M34" s="55">
        <v>12</v>
      </c>
    </row>
    <row r="35" spans="1:13" customFormat="1" ht="17.100000000000001" customHeight="1">
      <c r="A35" s="35">
        <v>18</v>
      </c>
      <c r="B35" s="57" t="s">
        <v>54</v>
      </c>
      <c r="C35" s="57">
        <f>C32+C33-C34</f>
        <v>-11.237</v>
      </c>
      <c r="D35" s="57">
        <f t="shared" ref="D35:M35" si="5">D32+D33-D34</f>
        <v>-11.826000000000001</v>
      </c>
      <c r="E35" s="57">
        <f t="shared" si="5"/>
        <v>-10.9</v>
      </c>
      <c r="F35" s="57">
        <f t="shared" si="5"/>
        <v>-12.3</v>
      </c>
      <c r="G35" s="71">
        <f t="shared" si="5"/>
        <v>-2.75</v>
      </c>
      <c r="H35" s="71">
        <f t="shared" si="5"/>
        <v>-5.5</v>
      </c>
      <c r="I35" s="71">
        <f t="shared" si="5"/>
        <v>-8.25</v>
      </c>
      <c r="J35" s="57">
        <f t="shared" si="5"/>
        <v>-11</v>
      </c>
      <c r="K35" s="57">
        <f t="shared" si="5"/>
        <v>-11</v>
      </c>
      <c r="L35" s="57">
        <f t="shared" si="5"/>
        <v>-11</v>
      </c>
      <c r="M35" s="59">
        <f t="shared" si="5"/>
        <v>-11</v>
      </c>
    </row>
    <row r="36" spans="1:13" customFormat="1" ht="17.100000000000001" customHeight="1">
      <c r="A36" s="35">
        <v>19</v>
      </c>
      <c r="B36" s="60" t="s">
        <v>55</v>
      </c>
      <c r="C36" s="52">
        <f t="shared" ref="C36:M36" si="6">C31+C35</f>
        <v>226.55599999999967</v>
      </c>
      <c r="D36" s="52">
        <f t="shared" si="6"/>
        <v>232.61400000000233</v>
      </c>
      <c r="E36" s="52">
        <f>E31+E35</f>
        <v>383.39325620238526</v>
      </c>
      <c r="F36" s="52">
        <f t="shared" ref="F36:I36" si="7">F31+F35</f>
        <v>372.14000000000232</v>
      </c>
      <c r="G36" s="70">
        <f t="shared" si="7"/>
        <v>55.612161924297652</v>
      </c>
      <c r="H36" s="70">
        <f t="shared" si="7"/>
        <v>111.2243238485953</v>
      </c>
      <c r="I36" s="70">
        <f t="shared" si="7"/>
        <v>166.83648577289205</v>
      </c>
      <c r="J36" s="61">
        <f t="shared" si="6"/>
        <v>222.44864769719061</v>
      </c>
      <c r="K36" s="61">
        <f t="shared" si="6"/>
        <v>204.04045573766052</v>
      </c>
      <c r="L36" s="62">
        <f t="shared" si="6"/>
        <v>225.22090320026109</v>
      </c>
      <c r="M36" s="62">
        <f t="shared" si="6"/>
        <v>260.27048668167845</v>
      </c>
    </row>
    <row r="37" spans="1:13" customFormat="1" ht="17.100000000000001" customHeight="1">
      <c r="A37" s="35">
        <v>20</v>
      </c>
      <c r="B37" s="4" t="s">
        <v>56</v>
      </c>
      <c r="C37" s="4"/>
      <c r="D37" s="4"/>
      <c r="E37" s="4">
        <v>33.020000000000003</v>
      </c>
      <c r="F37" s="4">
        <v>32.32</v>
      </c>
      <c r="G37" s="41">
        <v>8.2550000000000008</v>
      </c>
      <c r="H37" s="41">
        <v>16.510000000000002</v>
      </c>
      <c r="I37" s="41">
        <v>24.765000000000001</v>
      </c>
      <c r="J37" s="4">
        <v>33.020000000000003</v>
      </c>
      <c r="K37" s="4">
        <v>33.020000000000003</v>
      </c>
      <c r="L37" s="4">
        <v>33.020000000000003</v>
      </c>
      <c r="M37" s="3">
        <v>33.020000000000003</v>
      </c>
    </row>
    <row r="38" spans="1:13" customFormat="1" ht="17.100000000000001" customHeight="1">
      <c r="A38" s="35">
        <v>21</v>
      </c>
      <c r="B38" s="45" t="s">
        <v>57</v>
      </c>
      <c r="C38" s="45">
        <v>20.332000000000001</v>
      </c>
      <c r="D38" s="45">
        <v>11.737</v>
      </c>
      <c r="E38" s="45">
        <v>27.068650000000002</v>
      </c>
      <c r="F38" s="45">
        <v>22.33</v>
      </c>
      <c r="G38" s="41">
        <v>5</v>
      </c>
      <c r="H38" s="41">
        <v>10</v>
      </c>
      <c r="I38" s="41">
        <v>15</v>
      </c>
      <c r="J38" s="55">
        <v>20</v>
      </c>
      <c r="K38" s="55">
        <v>20</v>
      </c>
      <c r="L38" s="55">
        <v>20</v>
      </c>
      <c r="M38" s="55">
        <v>20</v>
      </c>
    </row>
    <row r="39" spans="1:13" customFormat="1" ht="17.100000000000001" customHeight="1">
      <c r="A39" s="63">
        <v>22</v>
      </c>
      <c r="B39" s="64" t="s">
        <v>58</v>
      </c>
      <c r="C39" s="64">
        <f t="shared" ref="C39:M39" si="8">C36+C37-C38</f>
        <v>206.22399999999968</v>
      </c>
      <c r="D39" s="64">
        <f t="shared" si="8"/>
        <v>220.87700000000234</v>
      </c>
      <c r="E39" s="64">
        <f t="shared" si="8"/>
        <v>389.34460620238525</v>
      </c>
      <c r="F39" s="64">
        <f t="shared" si="8"/>
        <v>382.13000000000233</v>
      </c>
      <c r="G39" s="65">
        <f t="shared" si="8"/>
        <v>58.867161924297655</v>
      </c>
      <c r="H39" s="65">
        <f t="shared" si="8"/>
        <v>117.73432384859531</v>
      </c>
      <c r="I39" s="65">
        <f t="shared" si="8"/>
        <v>176.60148577289203</v>
      </c>
      <c r="J39" s="66">
        <f>J36+J37-J38</f>
        <v>235.46864769719062</v>
      </c>
      <c r="K39" s="66">
        <f t="shared" si="8"/>
        <v>217.06045573766053</v>
      </c>
      <c r="L39" s="67">
        <f t="shared" si="8"/>
        <v>238.24090320026107</v>
      </c>
      <c r="M39" s="67">
        <f t="shared" si="8"/>
        <v>273.29048668167843</v>
      </c>
    </row>
  </sheetData>
  <mergeCells count="14">
    <mergeCell ref="A1:E3"/>
    <mergeCell ref="F1:J3"/>
    <mergeCell ref="K1:N3"/>
    <mergeCell ref="A4:M4"/>
    <mergeCell ref="A5:B5"/>
    <mergeCell ref="C5:M5"/>
    <mergeCell ref="A8:B8"/>
    <mergeCell ref="B10:M10"/>
    <mergeCell ref="A6:B6"/>
    <mergeCell ref="G6:M6"/>
    <mergeCell ref="A7:B7"/>
    <mergeCell ref="C7:F7"/>
    <mergeCell ref="G7:K7"/>
    <mergeCell ref="L7:M7"/>
  </mergeCells>
  <pageMargins left="0.51181102362204722" right="0" top="0.39370078740157483" bottom="0.19685039370078741" header="0.31496062992125984" footer="0.31496062992125984"/>
  <pageSetup paperSize="9" scale="70" orientation="landscape" r:id="rId1"/>
  <headerFooter>
    <oddHeader>&amp;RBlatt 2a.2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Layout" zoomScale="50" zoomScaleNormal="100" zoomScalePageLayoutView="50" workbookViewId="0">
      <selection activeCell="C39" sqref="C39"/>
    </sheetView>
  </sheetViews>
  <sheetFormatPr baseColWidth="10" defaultRowHeight="15"/>
  <cols>
    <col min="1" max="1" width="6.28515625" customWidth="1"/>
    <col min="2" max="2" width="30.28515625" customWidth="1"/>
    <col min="3" max="13" width="12.7109375" customWidth="1"/>
  </cols>
  <sheetData>
    <row r="1" spans="1:13" ht="15" customHeight="1">
      <c r="A1" s="470" t="s">
        <v>0</v>
      </c>
      <c r="B1" s="470"/>
      <c r="C1" s="470"/>
      <c r="D1" s="470"/>
      <c r="E1" s="471"/>
      <c r="F1" s="500"/>
      <c r="G1" s="500"/>
      <c r="H1" s="500"/>
      <c r="I1" s="500"/>
      <c r="J1" s="500"/>
      <c r="K1" s="502" t="s">
        <v>1</v>
      </c>
      <c r="L1" s="502"/>
      <c r="M1" s="502"/>
    </row>
    <row r="2" spans="1:13">
      <c r="A2" s="470"/>
      <c r="B2" s="470"/>
      <c r="C2" s="470"/>
      <c r="D2" s="470"/>
      <c r="E2" s="471"/>
      <c r="F2" s="500"/>
      <c r="G2" s="500"/>
      <c r="H2" s="500"/>
      <c r="I2" s="500"/>
      <c r="J2" s="500"/>
      <c r="K2" s="502"/>
      <c r="L2" s="502"/>
      <c r="M2" s="502"/>
    </row>
    <row r="3" spans="1:13">
      <c r="A3" s="472"/>
      <c r="B3" s="472"/>
      <c r="C3" s="472"/>
      <c r="D3" s="472"/>
      <c r="E3" s="473"/>
      <c r="F3" s="501"/>
      <c r="G3" s="501"/>
      <c r="H3" s="501"/>
      <c r="I3" s="501"/>
      <c r="J3" s="501"/>
      <c r="K3" s="502"/>
      <c r="L3" s="502"/>
      <c r="M3" s="502"/>
    </row>
    <row r="4" spans="1:13" ht="18">
      <c r="A4" s="477" t="s">
        <v>2</v>
      </c>
      <c r="B4" s="478"/>
      <c r="C4" s="478"/>
      <c r="D4" s="478"/>
      <c r="E4" s="478"/>
      <c r="F4" s="478"/>
      <c r="G4" s="478"/>
      <c r="H4" s="478"/>
      <c r="I4" s="478"/>
      <c r="J4" s="478"/>
      <c r="K4" s="478"/>
      <c r="L4" s="478"/>
      <c r="M4" s="479"/>
    </row>
    <row r="5" spans="1:13" ht="15.75" customHeight="1">
      <c r="A5" s="480" t="s">
        <v>3</v>
      </c>
      <c r="B5" s="481"/>
      <c r="C5" s="482" t="s">
        <v>4</v>
      </c>
      <c r="D5" s="482"/>
      <c r="E5" s="482"/>
      <c r="F5" s="482"/>
      <c r="G5" s="482"/>
      <c r="H5" s="482"/>
      <c r="I5" s="482"/>
      <c r="J5" s="483"/>
      <c r="K5" s="483"/>
      <c r="L5" s="483"/>
      <c r="M5" s="484"/>
    </row>
    <row r="6" spans="1:13" ht="15" customHeight="1">
      <c r="A6" s="480" t="s">
        <v>5</v>
      </c>
      <c r="B6" s="481"/>
      <c r="C6" s="24"/>
      <c r="D6" s="24"/>
      <c r="E6" s="24"/>
      <c r="F6" s="24"/>
      <c r="G6" s="485" t="s">
        <v>6</v>
      </c>
      <c r="H6" s="486"/>
      <c r="I6" s="486"/>
      <c r="J6" s="486"/>
      <c r="K6" s="486"/>
      <c r="L6" s="486"/>
      <c r="M6" s="487"/>
    </row>
    <row r="7" spans="1:13" ht="15" customHeight="1">
      <c r="A7" s="488"/>
      <c r="B7" s="489"/>
      <c r="C7" s="490" t="s">
        <v>67</v>
      </c>
      <c r="D7" s="491"/>
      <c r="E7" s="491"/>
      <c r="F7" s="492"/>
      <c r="G7" s="493" t="s">
        <v>8</v>
      </c>
      <c r="H7" s="494"/>
      <c r="I7" s="495"/>
      <c r="J7" s="495"/>
      <c r="K7" s="496"/>
      <c r="L7" s="493" t="s">
        <v>9</v>
      </c>
      <c r="M7" s="497"/>
    </row>
    <row r="8" spans="1:13">
      <c r="A8" s="498" t="s">
        <v>10</v>
      </c>
      <c r="B8" s="499"/>
      <c r="C8" s="26" t="s">
        <v>11</v>
      </c>
      <c r="D8" s="26" t="s">
        <v>11</v>
      </c>
      <c r="E8" s="26" t="s">
        <v>12</v>
      </c>
      <c r="F8" s="26" t="s">
        <v>13</v>
      </c>
      <c r="G8" s="27" t="s">
        <v>14</v>
      </c>
      <c r="H8" s="27" t="s">
        <v>15</v>
      </c>
      <c r="I8" s="27" t="s">
        <v>16</v>
      </c>
      <c r="J8" s="27" t="s">
        <v>17</v>
      </c>
      <c r="K8" s="26" t="s">
        <v>18</v>
      </c>
      <c r="L8" s="28" t="s">
        <v>18</v>
      </c>
      <c r="M8" s="29" t="s">
        <v>18</v>
      </c>
    </row>
    <row r="9" spans="1:13">
      <c r="A9" s="30"/>
      <c r="B9" s="10"/>
      <c r="C9" s="31">
        <v>2015</v>
      </c>
      <c r="D9" s="31">
        <v>2016</v>
      </c>
      <c r="E9" s="31">
        <v>2017</v>
      </c>
      <c r="F9" s="31">
        <v>2017</v>
      </c>
      <c r="G9" s="32">
        <v>2018</v>
      </c>
      <c r="H9" s="32">
        <v>2018</v>
      </c>
      <c r="I9" s="32">
        <v>2018</v>
      </c>
      <c r="J9" s="32">
        <v>2018</v>
      </c>
      <c r="K9" s="33">
        <v>2019</v>
      </c>
      <c r="L9" s="11">
        <v>2020</v>
      </c>
      <c r="M9" s="33">
        <v>2021</v>
      </c>
    </row>
    <row r="10" spans="1:13" ht="15" customHeight="1">
      <c r="A10" s="34" t="s">
        <v>19</v>
      </c>
      <c r="B10" s="467" t="s">
        <v>20</v>
      </c>
      <c r="C10" s="468"/>
      <c r="D10" s="468"/>
      <c r="E10" s="468"/>
      <c r="F10" s="468"/>
      <c r="G10" s="468"/>
      <c r="H10" s="468"/>
      <c r="I10" s="468"/>
      <c r="J10" s="468"/>
      <c r="K10" s="468"/>
      <c r="L10" s="468"/>
      <c r="M10" s="469"/>
    </row>
    <row r="11" spans="1:13" ht="17.100000000000001" customHeight="1">
      <c r="A11" s="35">
        <v>1</v>
      </c>
      <c r="B11" s="36" t="s">
        <v>21</v>
      </c>
      <c r="C11" s="36">
        <f t="shared" ref="C11:I11" si="0">SUM(C12:C14)</f>
        <v>88.766999999999996</v>
      </c>
      <c r="D11" s="36">
        <f t="shared" si="0"/>
        <v>141.24600000000001</v>
      </c>
      <c r="E11" s="36">
        <f t="shared" si="0"/>
        <v>129.19999999999999</v>
      </c>
      <c r="F11" s="36">
        <f t="shared" si="0"/>
        <v>119.2</v>
      </c>
      <c r="G11" s="68">
        <f t="shared" si="0"/>
        <v>36</v>
      </c>
      <c r="H11" s="68">
        <f t="shared" si="0"/>
        <v>72</v>
      </c>
      <c r="I11" s="68">
        <f t="shared" si="0"/>
        <v>108</v>
      </c>
      <c r="J11" s="36">
        <f t="shared" ref="J11:M11" si="1">SUM(J12:J14)</f>
        <v>144</v>
      </c>
      <c r="K11" s="36">
        <f t="shared" si="1"/>
        <v>144</v>
      </c>
      <c r="L11" s="36">
        <f t="shared" si="1"/>
        <v>144</v>
      </c>
      <c r="M11" s="38">
        <f t="shared" si="1"/>
        <v>104</v>
      </c>
    </row>
    <row r="12" spans="1:13" s="12" customFormat="1" ht="17.100000000000001" customHeight="1">
      <c r="A12" s="43" t="s">
        <v>22</v>
      </c>
      <c r="B12" s="40" t="s">
        <v>33</v>
      </c>
      <c r="C12" s="41">
        <v>2.5139999999999998</v>
      </c>
      <c r="D12" s="41">
        <v>6.2910000000000004</v>
      </c>
      <c r="E12" s="41">
        <v>5</v>
      </c>
      <c r="F12" s="41">
        <v>5</v>
      </c>
      <c r="G12" s="41">
        <v>1</v>
      </c>
      <c r="H12" s="41">
        <v>2</v>
      </c>
      <c r="I12" s="41">
        <v>3</v>
      </c>
      <c r="J12" s="41">
        <v>4</v>
      </c>
      <c r="K12" s="41">
        <v>4</v>
      </c>
      <c r="L12" s="41">
        <v>4</v>
      </c>
      <c r="M12" s="42">
        <v>4</v>
      </c>
    </row>
    <row r="13" spans="1:13" s="12" customFormat="1" ht="17.100000000000001" customHeight="1">
      <c r="A13" s="43" t="s">
        <v>24</v>
      </c>
      <c r="B13" s="40" t="s">
        <v>35</v>
      </c>
      <c r="C13" s="41">
        <v>6.1280000000000001</v>
      </c>
      <c r="D13" s="41">
        <v>7.0970000000000004</v>
      </c>
      <c r="E13" s="41">
        <v>5</v>
      </c>
      <c r="F13" s="41">
        <v>11</v>
      </c>
      <c r="G13" s="41">
        <v>1.25</v>
      </c>
      <c r="H13" s="41">
        <v>2.5</v>
      </c>
      <c r="I13" s="41">
        <v>3.75</v>
      </c>
      <c r="J13" s="41">
        <v>5</v>
      </c>
      <c r="K13" s="41">
        <v>5</v>
      </c>
      <c r="L13" s="41">
        <v>5</v>
      </c>
      <c r="M13" s="42">
        <v>5</v>
      </c>
    </row>
    <row r="14" spans="1:13" s="12" customFormat="1" ht="17.100000000000001" customHeight="1">
      <c r="A14" s="43" t="s">
        <v>26</v>
      </c>
      <c r="B14" s="40" t="s">
        <v>37</v>
      </c>
      <c r="C14" s="41">
        <f>SUM(C15:C16)</f>
        <v>80.125</v>
      </c>
      <c r="D14" s="41">
        <f t="shared" ref="D14:M14" si="2">SUM(D15:D16)</f>
        <v>127.858</v>
      </c>
      <c r="E14" s="41">
        <f t="shared" si="2"/>
        <v>119.2</v>
      </c>
      <c r="F14" s="41">
        <f t="shared" si="2"/>
        <v>103.2</v>
      </c>
      <c r="G14" s="41">
        <f t="shared" si="2"/>
        <v>33.75</v>
      </c>
      <c r="H14" s="41">
        <f t="shared" si="2"/>
        <v>67.5</v>
      </c>
      <c r="I14" s="41">
        <f t="shared" si="2"/>
        <v>101.25</v>
      </c>
      <c r="J14" s="41">
        <f t="shared" si="2"/>
        <v>135</v>
      </c>
      <c r="K14" s="41">
        <f t="shared" si="2"/>
        <v>135</v>
      </c>
      <c r="L14" s="41">
        <f t="shared" si="2"/>
        <v>135</v>
      </c>
      <c r="M14" s="42">
        <f t="shared" si="2"/>
        <v>95</v>
      </c>
    </row>
    <row r="15" spans="1:13" s="12" customFormat="1" ht="17.100000000000001" customHeight="1">
      <c r="A15" s="43"/>
      <c r="B15" s="83" t="s">
        <v>65</v>
      </c>
      <c r="C15" s="41">
        <v>6.3959999999999999</v>
      </c>
      <c r="D15" s="41">
        <v>28.4</v>
      </c>
      <c r="E15" s="41">
        <v>18</v>
      </c>
      <c r="F15" s="41">
        <v>18</v>
      </c>
      <c r="G15" s="41">
        <v>2.5</v>
      </c>
      <c r="H15" s="41">
        <v>5</v>
      </c>
      <c r="I15" s="41">
        <v>7.5</v>
      </c>
      <c r="J15" s="41">
        <v>10</v>
      </c>
      <c r="K15" s="41">
        <v>10</v>
      </c>
      <c r="L15" s="41">
        <v>10</v>
      </c>
      <c r="M15" s="42">
        <v>10</v>
      </c>
    </row>
    <row r="16" spans="1:13" s="12" customFormat="1" ht="17.100000000000001" customHeight="1">
      <c r="A16" s="43"/>
      <c r="B16" s="83" t="s">
        <v>66</v>
      </c>
      <c r="C16" s="41">
        <v>73.728999999999999</v>
      </c>
      <c r="D16" s="41">
        <v>99.457999999999998</v>
      </c>
      <c r="E16" s="41">
        <v>101.2</v>
      </c>
      <c r="F16" s="41">
        <v>85.2</v>
      </c>
      <c r="G16" s="41">
        <v>31.25</v>
      </c>
      <c r="H16" s="41">
        <v>62.5</v>
      </c>
      <c r="I16" s="41">
        <v>93.75</v>
      </c>
      <c r="J16" s="41">
        <v>125</v>
      </c>
      <c r="K16" s="41">
        <v>125</v>
      </c>
      <c r="L16" s="41">
        <v>125</v>
      </c>
      <c r="M16" s="42">
        <v>85</v>
      </c>
    </row>
    <row r="17" spans="1:13" ht="17.100000000000001" customHeight="1">
      <c r="A17" s="35">
        <v>2</v>
      </c>
      <c r="B17" s="44" t="s">
        <v>38</v>
      </c>
      <c r="C17" s="45">
        <v>69.236000000000004</v>
      </c>
      <c r="D17" s="45"/>
      <c r="E17" s="45"/>
      <c r="F17" s="45"/>
      <c r="G17" s="41"/>
      <c r="H17" s="41"/>
      <c r="I17" s="41"/>
      <c r="J17" s="55"/>
      <c r="K17" s="55"/>
      <c r="L17" s="56"/>
      <c r="M17" s="56"/>
    </row>
    <row r="18" spans="1:13" ht="17.100000000000001" customHeight="1">
      <c r="A18" s="35">
        <v>3</v>
      </c>
      <c r="B18" s="44" t="s">
        <v>39</v>
      </c>
      <c r="C18" s="45"/>
      <c r="D18" s="45"/>
      <c r="E18" s="45"/>
      <c r="F18" s="45"/>
      <c r="G18" s="41"/>
      <c r="H18" s="41"/>
      <c r="I18" s="41"/>
      <c r="J18" s="55"/>
      <c r="K18" s="55"/>
      <c r="L18" s="56"/>
      <c r="M18" s="56"/>
    </row>
    <row r="19" spans="1:13" ht="17.100000000000001" customHeight="1">
      <c r="A19" s="35">
        <v>4</v>
      </c>
      <c r="B19" s="45" t="s">
        <v>40</v>
      </c>
      <c r="C19" s="45">
        <v>30.736000000000001</v>
      </c>
      <c r="D19" s="45">
        <v>41.067</v>
      </c>
      <c r="E19" s="45">
        <v>16.8</v>
      </c>
      <c r="F19" s="45">
        <v>16.8</v>
      </c>
      <c r="G19" s="41">
        <v>5</v>
      </c>
      <c r="H19" s="41">
        <v>10</v>
      </c>
      <c r="I19" s="41">
        <v>15</v>
      </c>
      <c r="J19" s="55">
        <v>20</v>
      </c>
      <c r="K19" s="55">
        <v>20</v>
      </c>
      <c r="L19" s="55">
        <v>20</v>
      </c>
      <c r="M19" s="55">
        <v>20</v>
      </c>
    </row>
    <row r="20" spans="1:13" ht="17.100000000000001" customHeight="1">
      <c r="A20" s="35">
        <v>5</v>
      </c>
      <c r="B20" s="47" t="s">
        <v>41</v>
      </c>
      <c r="C20" s="47">
        <f t="shared" ref="C20:M20" si="3">C11+C17+C18+C19</f>
        <v>188.73899999999998</v>
      </c>
      <c r="D20" s="47">
        <f t="shared" si="3"/>
        <v>182.31300000000002</v>
      </c>
      <c r="E20" s="47">
        <f t="shared" si="3"/>
        <v>146</v>
      </c>
      <c r="F20" s="47">
        <f t="shared" si="3"/>
        <v>136</v>
      </c>
      <c r="G20" s="69">
        <f t="shared" si="3"/>
        <v>41</v>
      </c>
      <c r="H20" s="69">
        <f t="shared" si="3"/>
        <v>82</v>
      </c>
      <c r="I20" s="69">
        <f t="shared" si="3"/>
        <v>123</v>
      </c>
      <c r="J20" s="47">
        <f t="shared" si="3"/>
        <v>164</v>
      </c>
      <c r="K20" s="47">
        <f t="shared" si="3"/>
        <v>164</v>
      </c>
      <c r="L20" s="47">
        <f t="shared" si="3"/>
        <v>164</v>
      </c>
      <c r="M20" s="49">
        <f t="shared" si="3"/>
        <v>124</v>
      </c>
    </row>
    <row r="21" spans="1:13" ht="17.100000000000001" customHeight="1">
      <c r="A21" s="35">
        <v>6</v>
      </c>
      <c r="B21" s="45" t="s">
        <v>42</v>
      </c>
      <c r="C21" s="45">
        <v>123.218</v>
      </c>
      <c r="D21" s="45">
        <v>116.324</v>
      </c>
      <c r="E21" s="45">
        <v>149.63800000000001</v>
      </c>
      <c r="F21" s="45">
        <v>176.822</v>
      </c>
      <c r="G21" s="41">
        <v>30</v>
      </c>
      <c r="H21" s="41">
        <v>60</v>
      </c>
      <c r="I21" s="41">
        <v>90</v>
      </c>
      <c r="J21" s="55">
        <v>120</v>
      </c>
      <c r="K21" s="55">
        <v>121.2</v>
      </c>
      <c r="L21" s="55">
        <v>122.41200000000001</v>
      </c>
      <c r="M21" s="55">
        <v>123.63612000000001</v>
      </c>
    </row>
    <row r="22" spans="1:13" ht="17.100000000000001" customHeight="1">
      <c r="A22" s="35">
        <v>7</v>
      </c>
      <c r="B22" s="45" t="s">
        <v>43</v>
      </c>
      <c r="C22" s="45">
        <v>114.13200000000001</v>
      </c>
      <c r="D22" s="45">
        <v>83.009</v>
      </c>
      <c r="E22" s="45">
        <v>111.747</v>
      </c>
      <c r="F22" s="45">
        <v>110.746</v>
      </c>
      <c r="G22" s="41">
        <v>25</v>
      </c>
      <c r="H22" s="41">
        <v>50</v>
      </c>
      <c r="I22" s="41">
        <v>75</v>
      </c>
      <c r="J22" s="55">
        <v>100</v>
      </c>
      <c r="K22" s="55">
        <v>101</v>
      </c>
      <c r="L22" s="55">
        <v>102.01</v>
      </c>
      <c r="M22" s="55">
        <v>103.0301</v>
      </c>
    </row>
    <row r="23" spans="1:13" ht="17.100000000000001" customHeight="1">
      <c r="A23" s="35">
        <v>8</v>
      </c>
      <c r="B23" s="45" t="s">
        <v>44</v>
      </c>
      <c r="C23" s="45">
        <v>1979.808</v>
      </c>
      <c r="D23" s="45">
        <v>2042.7270000000001</v>
      </c>
      <c r="E23" s="45">
        <v>2183.49342132935</v>
      </c>
      <c r="F23" s="45">
        <v>2197.2370000000001</v>
      </c>
      <c r="G23" s="41">
        <v>570.16955309303</v>
      </c>
      <c r="H23" s="41">
        <v>1140.33910618606</v>
      </c>
      <c r="I23" s="41">
        <v>1710.5086592790899</v>
      </c>
      <c r="J23" s="55">
        <v>2280.67821237212</v>
      </c>
      <c r="K23" s="55">
        <v>2317.1584330577002</v>
      </c>
      <c r="L23" s="56">
        <v>2235.3923263605302</v>
      </c>
      <c r="M23" s="56">
        <v>2268.9232112559398</v>
      </c>
    </row>
    <row r="24" spans="1:13" ht="17.100000000000001" customHeight="1">
      <c r="A24" s="35">
        <v>9</v>
      </c>
      <c r="B24" s="45" t="s">
        <v>45</v>
      </c>
      <c r="C24" s="45">
        <v>152.232</v>
      </c>
      <c r="D24" s="45">
        <v>156.16399999999999</v>
      </c>
      <c r="E24" s="45">
        <v>151.523</v>
      </c>
      <c r="F24" s="45">
        <v>151.523</v>
      </c>
      <c r="G24" s="41">
        <v>35.25</v>
      </c>
      <c r="H24" s="41">
        <v>70.5</v>
      </c>
      <c r="I24" s="41">
        <v>105.75</v>
      </c>
      <c r="J24" s="55">
        <v>141</v>
      </c>
      <c r="K24" s="55">
        <v>150</v>
      </c>
      <c r="L24" s="55">
        <v>145.44399999999999</v>
      </c>
      <c r="M24" s="55">
        <v>145.44399999999999</v>
      </c>
    </row>
    <row r="25" spans="1:13" ht="17.100000000000001" customHeight="1">
      <c r="A25" s="35">
        <v>10</v>
      </c>
      <c r="B25" s="45" t="s">
        <v>46</v>
      </c>
      <c r="C25" s="45">
        <v>226.50700000000001</v>
      </c>
      <c r="D25" s="45">
        <v>178.26499999999999</v>
      </c>
      <c r="E25" s="45">
        <v>284.779</v>
      </c>
      <c r="F25" s="45">
        <v>257.54199999999997</v>
      </c>
      <c r="G25" s="41">
        <v>55</v>
      </c>
      <c r="H25" s="41">
        <v>110</v>
      </c>
      <c r="I25" s="41">
        <v>165</v>
      </c>
      <c r="J25" s="55">
        <v>220</v>
      </c>
      <c r="K25" s="55">
        <v>222.2</v>
      </c>
      <c r="L25" s="55">
        <v>224.422</v>
      </c>
      <c r="M25" s="55">
        <v>226.66622000000001</v>
      </c>
    </row>
    <row r="26" spans="1:13" s="14" customFormat="1" ht="17.100000000000001" customHeight="1">
      <c r="A26" s="35">
        <v>11</v>
      </c>
      <c r="B26" s="45" t="s">
        <v>47</v>
      </c>
      <c r="C26" s="45">
        <v>-195.934</v>
      </c>
      <c r="D26" s="45">
        <v>-301.73500000000001</v>
      </c>
      <c r="E26" s="45">
        <v>-574</v>
      </c>
      <c r="F26" s="45">
        <v>-541.69399999999996</v>
      </c>
      <c r="G26" s="41">
        <v>-131</v>
      </c>
      <c r="H26" s="41">
        <v>-262</v>
      </c>
      <c r="I26" s="41">
        <v>-393</v>
      </c>
      <c r="J26" s="55">
        <v>-524</v>
      </c>
      <c r="K26" s="55">
        <v>-574</v>
      </c>
      <c r="L26" s="55">
        <v>-512</v>
      </c>
      <c r="M26" s="55">
        <v>-590</v>
      </c>
    </row>
    <row r="27" spans="1:13" ht="17.100000000000001" customHeight="1">
      <c r="A27" s="35">
        <v>12</v>
      </c>
      <c r="B27" s="45" t="s">
        <v>48</v>
      </c>
      <c r="C27" s="45">
        <v>-2232.806</v>
      </c>
      <c r="D27" s="45">
        <v>-2117.5540000000001</v>
      </c>
      <c r="E27" s="45">
        <v>-2170.2660000000001</v>
      </c>
      <c r="F27" s="45">
        <v>-2225.6509999999998</v>
      </c>
      <c r="G27" s="41">
        <v>-543.25</v>
      </c>
      <c r="H27" s="41">
        <v>-1086.5</v>
      </c>
      <c r="I27" s="41">
        <v>-1629.75</v>
      </c>
      <c r="J27" s="55">
        <v>-2173</v>
      </c>
      <c r="K27" s="55">
        <v>-2173</v>
      </c>
      <c r="L27" s="55">
        <v>-2153</v>
      </c>
      <c r="M27" s="55">
        <v>-2153</v>
      </c>
    </row>
    <row r="28" spans="1:13" ht="17.100000000000001" customHeight="1">
      <c r="A28" s="35">
        <v>13</v>
      </c>
      <c r="B28" s="47" t="s">
        <v>49</v>
      </c>
      <c r="C28" s="47">
        <f t="shared" ref="C28:M28" si="4">SUM(C21:C27)</f>
        <v>167.1569999999997</v>
      </c>
      <c r="D28" s="47">
        <f>SUM(D21:D27)</f>
        <v>157.19999999999982</v>
      </c>
      <c r="E28" s="47">
        <f>SUM(E21:E27)</f>
        <v>136.91442132935026</v>
      </c>
      <c r="F28" s="47">
        <f t="shared" ref="F28:I28" si="5">SUM(F21:F27)</f>
        <v>126.52500000000055</v>
      </c>
      <c r="G28" s="69">
        <f t="shared" si="5"/>
        <v>41.169553093030004</v>
      </c>
      <c r="H28" s="69">
        <f t="shared" si="5"/>
        <v>82.339106186060008</v>
      </c>
      <c r="I28" s="69">
        <f t="shared" si="5"/>
        <v>123.5086592790899</v>
      </c>
      <c r="J28" s="50">
        <f t="shared" si="4"/>
        <v>164.67821237212002</v>
      </c>
      <c r="K28" s="50">
        <f t="shared" si="4"/>
        <v>164.55843305769986</v>
      </c>
      <c r="L28" s="51">
        <f t="shared" si="4"/>
        <v>164.68032636053022</v>
      </c>
      <c r="M28" s="51">
        <f t="shared" si="4"/>
        <v>124.6996512559399</v>
      </c>
    </row>
    <row r="29" spans="1:13" ht="17.100000000000001" customHeight="1">
      <c r="A29" s="35">
        <v>14</v>
      </c>
      <c r="B29" s="52" t="s">
        <v>50</v>
      </c>
      <c r="C29" s="52">
        <f>C20-C28</f>
        <v>21.582000000000278</v>
      </c>
      <c r="D29" s="52">
        <f t="shared" ref="D29:M29" si="6">D20-D28</f>
        <v>25.113000000000198</v>
      </c>
      <c r="E29" s="52">
        <f t="shared" si="6"/>
        <v>9.0855786706497383</v>
      </c>
      <c r="F29" s="52">
        <f t="shared" si="6"/>
        <v>9.4749999999994543</v>
      </c>
      <c r="G29" s="70">
        <f t="shared" si="6"/>
        <v>-0.16955309303000377</v>
      </c>
      <c r="H29" s="70">
        <f t="shared" si="6"/>
        <v>-0.33910618606000753</v>
      </c>
      <c r="I29" s="70">
        <f t="shared" si="6"/>
        <v>-0.50865927908989761</v>
      </c>
      <c r="J29" s="52">
        <f t="shared" si="6"/>
        <v>-0.67821237212001506</v>
      </c>
      <c r="K29" s="52">
        <f t="shared" si="6"/>
        <v>-0.55843305769985818</v>
      </c>
      <c r="L29" s="52">
        <f t="shared" si="6"/>
        <v>-0.68032636053021633</v>
      </c>
      <c r="M29" s="54">
        <f t="shared" si="6"/>
        <v>-0.69965125593989796</v>
      </c>
    </row>
    <row r="30" spans="1:13" ht="17.100000000000001" customHeight="1">
      <c r="A30" s="35">
        <v>15</v>
      </c>
      <c r="B30" s="45" t="s">
        <v>51</v>
      </c>
      <c r="C30" s="45"/>
      <c r="D30" s="45"/>
      <c r="E30" s="45"/>
      <c r="F30" s="45"/>
      <c r="G30" s="41"/>
      <c r="H30" s="41"/>
      <c r="I30" s="41"/>
      <c r="J30" s="55"/>
      <c r="K30" s="55"/>
      <c r="L30" s="56"/>
      <c r="M30" s="56"/>
    </row>
    <row r="31" spans="1:13" ht="17.100000000000001" customHeight="1">
      <c r="A31" s="35">
        <v>16</v>
      </c>
      <c r="B31" s="45" t="s">
        <v>52</v>
      </c>
      <c r="C31" s="45"/>
      <c r="D31" s="45"/>
      <c r="E31" s="45"/>
      <c r="F31" s="45"/>
      <c r="G31" s="41"/>
      <c r="H31" s="41"/>
      <c r="I31" s="41"/>
      <c r="J31" s="55"/>
      <c r="K31" s="55"/>
      <c r="L31" s="56"/>
      <c r="M31" s="56"/>
    </row>
    <row r="32" spans="1:13" ht="17.100000000000001" customHeight="1">
      <c r="A32" s="35">
        <v>17</v>
      </c>
      <c r="B32" s="45" t="s">
        <v>53</v>
      </c>
      <c r="C32" s="45">
        <v>0.67600000000000005</v>
      </c>
      <c r="D32" s="45">
        <v>0.628</v>
      </c>
      <c r="E32" s="45">
        <v>0.85</v>
      </c>
      <c r="F32" s="45">
        <v>0.85</v>
      </c>
      <c r="G32" s="41">
        <v>0.25</v>
      </c>
      <c r="H32" s="41">
        <v>0.5</v>
      </c>
      <c r="I32" s="41">
        <v>0.75</v>
      </c>
      <c r="J32" s="55">
        <v>1</v>
      </c>
      <c r="K32" s="55">
        <v>1</v>
      </c>
      <c r="L32" s="55">
        <v>1</v>
      </c>
      <c r="M32" s="55">
        <v>1</v>
      </c>
    </row>
    <row r="33" spans="1:13" ht="17.100000000000001" customHeight="1">
      <c r="A33" s="35">
        <v>18</v>
      </c>
      <c r="B33" s="57" t="s">
        <v>54</v>
      </c>
      <c r="C33" s="57">
        <f>C30+C31-C32</f>
        <v>-0.67600000000000005</v>
      </c>
      <c r="D33" s="57">
        <f t="shared" ref="D33:M33" si="7">D30+D31-D32</f>
        <v>-0.628</v>
      </c>
      <c r="E33" s="57">
        <f t="shared" si="7"/>
        <v>-0.85</v>
      </c>
      <c r="F33" s="57">
        <f t="shared" si="7"/>
        <v>-0.85</v>
      </c>
      <c r="G33" s="71">
        <f t="shared" si="7"/>
        <v>-0.25</v>
      </c>
      <c r="H33" s="71">
        <f t="shared" si="7"/>
        <v>-0.5</v>
      </c>
      <c r="I33" s="71">
        <f t="shared" si="7"/>
        <v>-0.75</v>
      </c>
      <c r="J33" s="57">
        <f t="shared" si="7"/>
        <v>-1</v>
      </c>
      <c r="K33" s="57">
        <f t="shared" si="7"/>
        <v>-1</v>
      </c>
      <c r="L33" s="57">
        <f t="shared" si="7"/>
        <v>-1</v>
      </c>
      <c r="M33" s="59">
        <f t="shared" si="7"/>
        <v>-1</v>
      </c>
    </row>
    <row r="34" spans="1:13" ht="17.100000000000001" customHeight="1">
      <c r="A34" s="35">
        <v>19</v>
      </c>
      <c r="B34" s="60" t="s">
        <v>55</v>
      </c>
      <c r="C34" s="52">
        <f t="shared" ref="C34:M34" si="8">C29+C33</f>
        <v>20.906000000000279</v>
      </c>
      <c r="D34" s="52">
        <f t="shared" si="8"/>
        <v>24.485000000000198</v>
      </c>
      <c r="E34" s="52">
        <f>E29+E33</f>
        <v>8.2355786706497387</v>
      </c>
      <c r="F34" s="52">
        <f t="shared" ref="F34:I34" si="9">F29+F33</f>
        <v>8.6249999999994547</v>
      </c>
      <c r="G34" s="70">
        <f t="shared" si="9"/>
        <v>-0.41955309303000377</v>
      </c>
      <c r="H34" s="70">
        <f t="shared" si="9"/>
        <v>-0.83910618606000753</v>
      </c>
      <c r="I34" s="70">
        <f t="shared" si="9"/>
        <v>-1.2586592790898976</v>
      </c>
      <c r="J34" s="61">
        <f t="shared" si="8"/>
        <v>-1.6782123721200151</v>
      </c>
      <c r="K34" s="61">
        <f t="shared" si="8"/>
        <v>-1.5584330576998582</v>
      </c>
      <c r="L34" s="62">
        <f t="shared" si="8"/>
        <v>-1.6803263605302163</v>
      </c>
      <c r="M34" s="62">
        <f t="shared" si="8"/>
        <v>-1.699651255939898</v>
      </c>
    </row>
    <row r="35" spans="1:13" ht="17.100000000000001" customHeight="1">
      <c r="A35" s="35">
        <v>20</v>
      </c>
      <c r="B35" s="4" t="s">
        <v>56</v>
      </c>
      <c r="C35" s="45"/>
      <c r="D35" s="45"/>
      <c r="E35" s="45">
        <v>21.648</v>
      </c>
      <c r="F35" s="45">
        <v>21.375</v>
      </c>
      <c r="G35" s="41">
        <v>5.4119999999999999</v>
      </c>
      <c r="H35" s="41">
        <v>10.824</v>
      </c>
      <c r="I35" s="41">
        <v>16.236000000000001</v>
      </c>
      <c r="J35" s="45">
        <v>21.648</v>
      </c>
      <c r="K35" s="45">
        <v>21.648</v>
      </c>
      <c r="L35" s="45">
        <v>21.648</v>
      </c>
      <c r="M35" s="44">
        <v>21.648</v>
      </c>
    </row>
    <row r="36" spans="1:13" ht="17.100000000000001" customHeight="1">
      <c r="A36" s="35">
        <v>21</v>
      </c>
      <c r="B36" s="45" t="s">
        <v>57</v>
      </c>
      <c r="C36" s="45">
        <v>21.542000000000002</v>
      </c>
      <c r="D36" s="45">
        <v>21.152999999999999</v>
      </c>
      <c r="E36" s="45">
        <v>30.045999999999999</v>
      </c>
      <c r="F36" s="45">
        <v>30</v>
      </c>
      <c r="G36" s="41">
        <v>5</v>
      </c>
      <c r="H36" s="41">
        <v>10</v>
      </c>
      <c r="I36" s="41">
        <v>15</v>
      </c>
      <c r="J36" s="55">
        <v>20</v>
      </c>
      <c r="K36" s="55">
        <v>20</v>
      </c>
      <c r="L36" s="55">
        <v>20</v>
      </c>
      <c r="M36" s="55">
        <v>20</v>
      </c>
    </row>
    <row r="37" spans="1:13" ht="17.100000000000001" customHeight="1">
      <c r="A37" s="63">
        <v>22</v>
      </c>
      <c r="B37" s="64" t="s">
        <v>58</v>
      </c>
      <c r="C37" s="64">
        <f t="shared" ref="C37:M37" si="10">C34+C35-C36</f>
        <v>-0.63599999999972212</v>
      </c>
      <c r="D37" s="64">
        <f t="shared" si="10"/>
        <v>3.3320000000001997</v>
      </c>
      <c r="E37" s="64">
        <f t="shared" si="10"/>
        <v>-0.16242132935025921</v>
      </c>
      <c r="F37" s="64">
        <f t="shared" si="10"/>
        <v>-5.4711790653527714E-13</v>
      </c>
      <c r="G37" s="72">
        <f t="shared" si="10"/>
        <v>-7.5530930300038435E-3</v>
      </c>
      <c r="H37" s="72">
        <f t="shared" si="10"/>
        <v>-1.5106186060007687E-2</v>
      </c>
      <c r="I37" s="72">
        <f t="shared" si="10"/>
        <v>-2.2659279089896955E-2</v>
      </c>
      <c r="J37" s="66">
        <f t="shared" si="10"/>
        <v>-3.0212372120015374E-2</v>
      </c>
      <c r="K37" s="66">
        <f t="shared" si="10"/>
        <v>8.9566942300141505E-2</v>
      </c>
      <c r="L37" s="67">
        <f t="shared" si="10"/>
        <v>-3.2326360530216647E-2</v>
      </c>
      <c r="M37" s="67">
        <f t="shared" si="10"/>
        <v>-5.1651255939898277E-2</v>
      </c>
    </row>
  </sheetData>
  <mergeCells count="14">
    <mergeCell ref="A8:B8"/>
    <mergeCell ref="B10:M10"/>
    <mergeCell ref="K1:M3"/>
    <mergeCell ref="A6:B6"/>
    <mergeCell ref="G6:M6"/>
    <mergeCell ref="A7:B7"/>
    <mergeCell ref="C7:F7"/>
    <mergeCell ref="G7:K7"/>
    <mergeCell ref="L7:M7"/>
    <mergeCell ref="A1:E3"/>
    <mergeCell ref="F1:J3"/>
    <mergeCell ref="A4:M4"/>
    <mergeCell ref="A5:B5"/>
    <mergeCell ref="C5:M5"/>
  </mergeCells>
  <pageMargins left="0.51181102362204722" right="0" top="0.39370078740157483" bottom="0.19685039370078741" header="0.31496062992125984" footer="0.31496062992125984"/>
  <pageSetup paperSize="9" scale="70" orientation="landscape" r:id="rId1"/>
  <headerFooter>
    <oddHeader>&amp;RBlatt 2a.3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Layout" zoomScale="50" zoomScaleNormal="100" zoomScalePageLayoutView="50" workbookViewId="0">
      <selection activeCell="C36" sqref="C36"/>
    </sheetView>
  </sheetViews>
  <sheetFormatPr baseColWidth="10" defaultRowHeight="15"/>
  <cols>
    <col min="1" max="1" width="6.28515625" customWidth="1"/>
    <col min="2" max="2" width="30.28515625" customWidth="1"/>
    <col min="3" max="13" width="12.7109375" customWidth="1"/>
  </cols>
  <sheetData>
    <row r="1" spans="1:13" ht="15" customHeight="1">
      <c r="A1" s="470" t="s">
        <v>0</v>
      </c>
      <c r="B1" s="470"/>
      <c r="C1" s="470"/>
      <c r="D1" s="470"/>
      <c r="E1" s="471"/>
      <c r="F1" s="8"/>
      <c r="G1" s="8"/>
      <c r="H1" s="8"/>
      <c r="I1" s="8"/>
      <c r="J1" s="474" t="s">
        <v>1</v>
      </c>
      <c r="K1" s="475"/>
      <c r="L1" s="475"/>
      <c r="M1" s="475"/>
    </row>
    <row r="2" spans="1:13">
      <c r="A2" s="470"/>
      <c r="B2" s="470"/>
      <c r="C2" s="470"/>
      <c r="D2" s="470"/>
      <c r="E2" s="471"/>
      <c r="F2" s="8"/>
      <c r="G2" s="8"/>
      <c r="H2" s="8"/>
      <c r="I2" s="8"/>
      <c r="J2" s="475"/>
      <c r="K2" s="475"/>
      <c r="L2" s="475"/>
      <c r="M2" s="475"/>
    </row>
    <row r="3" spans="1:13">
      <c r="A3" s="472"/>
      <c r="B3" s="472"/>
      <c r="C3" s="472"/>
      <c r="D3" s="472"/>
      <c r="E3" s="473"/>
      <c r="F3" s="23"/>
      <c r="G3" s="23"/>
      <c r="H3" s="23"/>
      <c r="I3" s="23"/>
      <c r="J3" s="476"/>
      <c r="K3" s="476"/>
      <c r="L3" s="476"/>
      <c r="M3" s="476"/>
    </row>
    <row r="4" spans="1:13" ht="18">
      <c r="A4" s="477" t="s">
        <v>2</v>
      </c>
      <c r="B4" s="478"/>
      <c r="C4" s="478"/>
      <c r="D4" s="478"/>
      <c r="E4" s="478"/>
      <c r="F4" s="478"/>
      <c r="G4" s="478"/>
      <c r="H4" s="478"/>
      <c r="I4" s="478"/>
      <c r="J4" s="478"/>
      <c r="K4" s="478"/>
      <c r="L4" s="478"/>
      <c r="M4" s="479"/>
    </row>
    <row r="5" spans="1:13" ht="15.75" customHeight="1">
      <c r="A5" s="480" t="s">
        <v>3</v>
      </c>
      <c r="B5" s="481"/>
      <c r="C5" s="482" t="s">
        <v>4</v>
      </c>
      <c r="D5" s="482"/>
      <c r="E5" s="482"/>
      <c r="F5" s="482"/>
      <c r="G5" s="482"/>
      <c r="H5" s="482"/>
      <c r="I5" s="482"/>
      <c r="J5" s="483"/>
      <c r="K5" s="483"/>
      <c r="L5" s="483"/>
      <c r="M5" s="484"/>
    </row>
    <row r="6" spans="1:13" ht="15" customHeight="1">
      <c r="A6" s="480" t="s">
        <v>5</v>
      </c>
      <c r="B6" s="481"/>
      <c r="C6" s="24"/>
      <c r="D6" s="24"/>
      <c r="E6" s="24"/>
      <c r="F6" s="24"/>
      <c r="G6" s="485" t="s">
        <v>6</v>
      </c>
      <c r="H6" s="486"/>
      <c r="I6" s="486"/>
      <c r="J6" s="486"/>
      <c r="K6" s="486"/>
      <c r="L6" s="486"/>
      <c r="M6" s="487"/>
    </row>
    <row r="7" spans="1:13" ht="15" customHeight="1">
      <c r="A7" s="488"/>
      <c r="B7" s="489"/>
      <c r="C7" s="490" t="s">
        <v>68</v>
      </c>
      <c r="D7" s="491"/>
      <c r="E7" s="491"/>
      <c r="F7" s="492"/>
      <c r="G7" s="493" t="s">
        <v>8</v>
      </c>
      <c r="H7" s="494"/>
      <c r="I7" s="495"/>
      <c r="J7" s="495"/>
      <c r="K7" s="496"/>
      <c r="L7" s="493" t="s">
        <v>9</v>
      </c>
      <c r="M7" s="497"/>
    </row>
    <row r="8" spans="1:13">
      <c r="A8" s="498" t="s">
        <v>10</v>
      </c>
      <c r="B8" s="499"/>
      <c r="C8" s="26" t="s">
        <v>11</v>
      </c>
      <c r="D8" s="26" t="s">
        <v>11</v>
      </c>
      <c r="E8" s="26" t="s">
        <v>12</v>
      </c>
      <c r="F8" s="26" t="s">
        <v>13</v>
      </c>
      <c r="G8" s="27" t="s">
        <v>14</v>
      </c>
      <c r="H8" s="27" t="s">
        <v>15</v>
      </c>
      <c r="I8" s="27" t="s">
        <v>16</v>
      </c>
      <c r="J8" s="27" t="s">
        <v>17</v>
      </c>
      <c r="K8" s="26" t="s">
        <v>18</v>
      </c>
      <c r="L8" s="28" t="s">
        <v>18</v>
      </c>
      <c r="M8" s="29" t="s">
        <v>18</v>
      </c>
    </row>
    <row r="9" spans="1:13">
      <c r="A9" s="30"/>
      <c r="B9" s="10"/>
      <c r="C9" s="31">
        <v>2015</v>
      </c>
      <c r="D9" s="31">
        <v>2016</v>
      </c>
      <c r="E9" s="31">
        <v>2017</v>
      </c>
      <c r="F9" s="31">
        <v>2017</v>
      </c>
      <c r="G9" s="32">
        <v>2018</v>
      </c>
      <c r="H9" s="32">
        <v>2018</v>
      </c>
      <c r="I9" s="32">
        <v>2018</v>
      </c>
      <c r="J9" s="32">
        <v>2018</v>
      </c>
      <c r="K9" s="33">
        <v>2019</v>
      </c>
      <c r="L9" s="11">
        <v>2020</v>
      </c>
      <c r="M9" s="33">
        <v>2021</v>
      </c>
    </row>
    <row r="10" spans="1:13" ht="15" customHeight="1">
      <c r="A10" s="34" t="s">
        <v>19</v>
      </c>
      <c r="B10" s="467" t="s">
        <v>20</v>
      </c>
      <c r="C10" s="468"/>
      <c r="D10" s="468"/>
      <c r="E10" s="468"/>
      <c r="F10" s="468"/>
      <c r="G10" s="468"/>
      <c r="H10" s="468"/>
      <c r="I10" s="468"/>
      <c r="J10" s="468"/>
      <c r="K10" s="468"/>
      <c r="L10" s="468"/>
      <c r="M10" s="469"/>
    </row>
    <row r="11" spans="1:13" ht="17.100000000000001" customHeight="1">
      <c r="A11" s="35">
        <v>1</v>
      </c>
      <c r="B11" s="36" t="s">
        <v>21</v>
      </c>
      <c r="C11" s="36">
        <f t="shared" ref="C11:M11" si="0">SUM(C12:C15)</f>
        <v>9738.1539999999986</v>
      </c>
      <c r="D11" s="36">
        <f t="shared" si="0"/>
        <v>9458.0439999999999</v>
      </c>
      <c r="E11" s="36">
        <f t="shared" si="0"/>
        <v>9746.6</v>
      </c>
      <c r="F11" s="36">
        <f t="shared" si="0"/>
        <v>10421.416000000001</v>
      </c>
      <c r="G11" s="68">
        <f t="shared" si="0"/>
        <v>2496</v>
      </c>
      <c r="H11" s="68">
        <f t="shared" si="0"/>
        <v>4992</v>
      </c>
      <c r="I11" s="68">
        <f t="shared" si="0"/>
        <v>7488</v>
      </c>
      <c r="J11" s="36">
        <f t="shared" si="0"/>
        <v>9981</v>
      </c>
      <c r="K11" s="36">
        <f t="shared" si="0"/>
        <v>9921</v>
      </c>
      <c r="L11" s="36">
        <f t="shared" si="0"/>
        <v>9861</v>
      </c>
      <c r="M11" s="38">
        <f t="shared" si="0"/>
        <v>9802</v>
      </c>
    </row>
    <row r="12" spans="1:13" s="12" customFormat="1" ht="17.100000000000001" customHeight="1">
      <c r="A12" s="39" t="s">
        <v>22</v>
      </c>
      <c r="B12" s="40" t="s">
        <v>23</v>
      </c>
      <c r="C12" s="41">
        <v>1729</v>
      </c>
      <c r="D12" s="41">
        <v>1704</v>
      </c>
      <c r="E12" s="41">
        <v>1704</v>
      </c>
      <c r="F12" s="41">
        <v>1729</v>
      </c>
      <c r="G12" s="41">
        <v>426</v>
      </c>
      <c r="H12" s="41">
        <v>852</v>
      </c>
      <c r="I12" s="41">
        <v>1278</v>
      </c>
      <c r="J12" s="87">
        <v>1701</v>
      </c>
      <c r="K12" s="87">
        <v>1701</v>
      </c>
      <c r="L12" s="87">
        <v>1701</v>
      </c>
      <c r="M12" s="87">
        <v>1701</v>
      </c>
    </row>
    <row r="13" spans="1:13" s="78" customFormat="1" ht="17.100000000000001" customHeight="1">
      <c r="A13" s="43" t="s">
        <v>24</v>
      </c>
      <c r="B13" s="40" t="s">
        <v>27</v>
      </c>
      <c r="C13" s="41">
        <v>6283.33</v>
      </c>
      <c r="D13" s="41">
        <v>6137.88</v>
      </c>
      <c r="E13" s="41">
        <v>6442</v>
      </c>
      <c r="F13" s="41">
        <v>7009</v>
      </c>
      <c r="G13" s="41">
        <v>1654.5</v>
      </c>
      <c r="H13" s="41">
        <v>3309</v>
      </c>
      <c r="I13" s="41">
        <v>4963.5</v>
      </c>
      <c r="J13" s="55">
        <v>6618</v>
      </c>
      <c r="K13" s="77">
        <v>6557</v>
      </c>
      <c r="L13" s="82">
        <v>6496</v>
      </c>
      <c r="M13" s="82">
        <v>6436</v>
      </c>
    </row>
    <row r="14" spans="1:13" s="78" customFormat="1" ht="17.100000000000001" customHeight="1">
      <c r="A14" s="43" t="s">
        <v>26</v>
      </c>
      <c r="B14" s="40" t="s">
        <v>69</v>
      </c>
      <c r="C14" s="41">
        <v>1398.559</v>
      </c>
      <c r="D14" s="41">
        <v>1373.06</v>
      </c>
      <c r="E14" s="41">
        <v>1358.6</v>
      </c>
      <c r="F14" s="41">
        <v>1402.3520000000001</v>
      </c>
      <c r="G14" s="41">
        <v>354.75</v>
      </c>
      <c r="H14" s="41">
        <v>709.5</v>
      </c>
      <c r="I14" s="41">
        <v>1064.25</v>
      </c>
      <c r="J14" s="55">
        <v>1419</v>
      </c>
      <c r="K14" s="77">
        <v>1419</v>
      </c>
      <c r="L14" s="77">
        <v>1419</v>
      </c>
      <c r="M14" s="77">
        <v>1419</v>
      </c>
    </row>
    <row r="15" spans="1:13" s="12" customFormat="1" ht="17.100000000000001" customHeight="1">
      <c r="A15" s="43" t="s">
        <v>28</v>
      </c>
      <c r="B15" s="40" t="s">
        <v>37</v>
      </c>
      <c r="C15" s="41">
        <v>327.26499999999999</v>
      </c>
      <c r="D15" s="41">
        <v>243.10400000000001</v>
      </c>
      <c r="E15" s="41">
        <v>242</v>
      </c>
      <c r="F15" s="41">
        <v>281.06400000000002</v>
      </c>
      <c r="G15" s="41">
        <v>60.75</v>
      </c>
      <c r="H15" s="41">
        <v>121.5</v>
      </c>
      <c r="I15" s="41">
        <v>182.25</v>
      </c>
      <c r="J15" s="55">
        <v>243</v>
      </c>
      <c r="K15" s="77">
        <v>244</v>
      </c>
      <c r="L15" s="77">
        <v>245</v>
      </c>
      <c r="M15" s="77">
        <v>246</v>
      </c>
    </row>
    <row r="16" spans="1:13" ht="17.100000000000001" customHeight="1">
      <c r="A16" s="35">
        <v>2</v>
      </c>
      <c r="B16" s="44" t="s">
        <v>38</v>
      </c>
      <c r="C16" s="45"/>
      <c r="D16" s="45"/>
      <c r="E16" s="45"/>
      <c r="F16" s="45"/>
      <c r="G16" s="41"/>
      <c r="H16" s="41"/>
      <c r="I16" s="41"/>
      <c r="J16" s="55"/>
      <c r="K16" s="55"/>
      <c r="L16" s="56"/>
      <c r="M16" s="56"/>
    </row>
    <row r="17" spans="1:13" ht="17.100000000000001" customHeight="1">
      <c r="A17" s="35">
        <v>3</v>
      </c>
      <c r="B17" s="44" t="s">
        <v>39</v>
      </c>
      <c r="C17" s="45"/>
      <c r="D17" s="45"/>
      <c r="E17" s="45"/>
      <c r="F17" s="45"/>
      <c r="G17" s="41"/>
      <c r="H17" s="41"/>
      <c r="I17" s="41"/>
      <c r="J17" s="55"/>
      <c r="K17" s="55"/>
      <c r="L17" s="56"/>
      <c r="M17" s="56"/>
    </row>
    <row r="18" spans="1:13" ht="17.100000000000001" customHeight="1">
      <c r="A18" s="35">
        <v>4</v>
      </c>
      <c r="B18" s="45" t="s">
        <v>40</v>
      </c>
      <c r="C18" s="45">
        <v>56.506</v>
      </c>
      <c r="D18" s="45">
        <v>40.299999999999997</v>
      </c>
      <c r="E18" s="45">
        <v>57</v>
      </c>
      <c r="F18" s="45">
        <v>42.652000000000001</v>
      </c>
      <c r="G18" s="41">
        <v>14.25</v>
      </c>
      <c r="H18" s="41">
        <v>28.5</v>
      </c>
      <c r="I18" s="41">
        <v>42.75</v>
      </c>
      <c r="J18" s="55">
        <v>57</v>
      </c>
      <c r="K18" s="55">
        <v>57</v>
      </c>
      <c r="L18" s="55">
        <v>57</v>
      </c>
      <c r="M18" s="55">
        <v>57</v>
      </c>
    </row>
    <row r="19" spans="1:13" ht="17.100000000000001" customHeight="1">
      <c r="A19" s="35">
        <v>5</v>
      </c>
      <c r="B19" s="47" t="s">
        <v>41</v>
      </c>
      <c r="C19" s="47">
        <f t="shared" ref="C19:M19" si="1">C11+C16+C17+C18</f>
        <v>9794.659999999998</v>
      </c>
      <c r="D19" s="47">
        <f t="shared" si="1"/>
        <v>9498.3439999999991</v>
      </c>
      <c r="E19" s="47">
        <f t="shared" si="1"/>
        <v>9803.6</v>
      </c>
      <c r="F19" s="47">
        <f t="shared" si="1"/>
        <v>10464.068000000001</v>
      </c>
      <c r="G19" s="69">
        <f t="shared" si="1"/>
        <v>2510.25</v>
      </c>
      <c r="H19" s="69">
        <f t="shared" si="1"/>
        <v>5020.5</v>
      </c>
      <c r="I19" s="69">
        <f t="shared" si="1"/>
        <v>7530.75</v>
      </c>
      <c r="J19" s="47">
        <f t="shared" si="1"/>
        <v>10038</v>
      </c>
      <c r="K19" s="47">
        <f t="shared" si="1"/>
        <v>9978</v>
      </c>
      <c r="L19" s="47">
        <f t="shared" si="1"/>
        <v>9918</v>
      </c>
      <c r="M19" s="49">
        <f t="shared" si="1"/>
        <v>9859</v>
      </c>
    </row>
    <row r="20" spans="1:13" ht="17.100000000000001" customHeight="1">
      <c r="A20" s="35">
        <v>6</v>
      </c>
      <c r="B20" s="45" t="s">
        <v>42</v>
      </c>
      <c r="C20" s="45">
        <v>659.41700000000003</v>
      </c>
      <c r="D20" s="45">
        <v>610.53599999999994</v>
      </c>
      <c r="E20" s="45">
        <v>700.505</v>
      </c>
      <c r="F20" s="45">
        <v>749.202</v>
      </c>
      <c r="G20" s="41">
        <v>145.75</v>
      </c>
      <c r="H20" s="41">
        <v>291.5</v>
      </c>
      <c r="I20" s="41">
        <v>437.25</v>
      </c>
      <c r="J20" s="55">
        <v>583</v>
      </c>
      <c r="K20" s="55">
        <v>553</v>
      </c>
      <c r="L20" s="56">
        <v>558</v>
      </c>
      <c r="M20" s="56">
        <v>563.58000000000004</v>
      </c>
    </row>
    <row r="21" spans="1:13" ht="17.100000000000001" customHeight="1">
      <c r="A21" s="35">
        <v>7</v>
      </c>
      <c r="B21" s="45" t="s">
        <v>43</v>
      </c>
      <c r="C21" s="45">
        <v>939.173</v>
      </c>
      <c r="D21" s="45">
        <v>1086.2249999999999</v>
      </c>
      <c r="E21" s="45">
        <v>1075.74</v>
      </c>
      <c r="F21" s="45">
        <v>982.476</v>
      </c>
      <c r="G21" s="41">
        <v>202.5</v>
      </c>
      <c r="H21" s="41">
        <v>405</v>
      </c>
      <c r="I21" s="41">
        <v>607.5</v>
      </c>
      <c r="J21" s="55">
        <v>810</v>
      </c>
      <c r="K21" s="55">
        <v>808</v>
      </c>
      <c r="L21" s="56">
        <v>816</v>
      </c>
      <c r="M21" s="56">
        <v>824.16</v>
      </c>
    </row>
    <row r="22" spans="1:13" s="14" customFormat="1" ht="17.100000000000001" customHeight="1">
      <c r="A22" s="35">
        <v>8</v>
      </c>
      <c r="B22" s="45" t="s">
        <v>44</v>
      </c>
      <c r="C22" s="45">
        <v>4867.7449999999999</v>
      </c>
      <c r="D22" s="45">
        <v>4648.12</v>
      </c>
      <c r="E22" s="45">
        <v>4803.3271047628496</v>
      </c>
      <c r="F22" s="45">
        <v>4943.6760000000004</v>
      </c>
      <c r="G22" s="41">
        <v>1202.165519744085</v>
      </c>
      <c r="H22" s="41">
        <v>2404.3310394881701</v>
      </c>
      <c r="I22" s="41">
        <v>3606.4965592322551</v>
      </c>
      <c r="J22" s="55">
        <v>4808.6620789763401</v>
      </c>
      <c r="K22" s="55">
        <v>4780.41362170098</v>
      </c>
      <c r="L22" s="56">
        <v>4856.79871501665</v>
      </c>
      <c r="M22" s="56">
        <v>4925</v>
      </c>
    </row>
    <row r="23" spans="1:13" s="14" customFormat="1" ht="17.100000000000001" customHeight="1">
      <c r="A23" s="35">
        <v>9</v>
      </c>
      <c r="B23" s="45" t="s">
        <v>45</v>
      </c>
      <c r="C23" s="45">
        <v>461.39299999999997</v>
      </c>
      <c r="D23" s="45">
        <v>441.57299999999998</v>
      </c>
      <c r="E23" s="45">
        <v>437.15999999999997</v>
      </c>
      <c r="F23" s="45">
        <v>439.59399999999999</v>
      </c>
      <c r="G23" s="41">
        <v>141</v>
      </c>
      <c r="H23" s="41">
        <v>282</v>
      </c>
      <c r="I23" s="41">
        <v>423</v>
      </c>
      <c r="J23" s="55">
        <v>564</v>
      </c>
      <c r="K23" s="55">
        <v>618</v>
      </c>
      <c r="L23" s="55">
        <v>622</v>
      </c>
      <c r="M23" s="55">
        <v>638</v>
      </c>
    </row>
    <row r="24" spans="1:13" ht="17.100000000000001" customHeight="1">
      <c r="A24" s="35">
        <v>10</v>
      </c>
      <c r="B24" s="45" t="s">
        <v>46</v>
      </c>
      <c r="C24" s="45">
        <v>652.48400000000004</v>
      </c>
      <c r="D24" s="45">
        <v>580.34799999999996</v>
      </c>
      <c r="E24" s="45">
        <v>608</v>
      </c>
      <c r="F24" s="45">
        <v>636.51300000000003</v>
      </c>
      <c r="G24" s="41">
        <v>140.75</v>
      </c>
      <c r="H24" s="41">
        <v>281.5</v>
      </c>
      <c r="I24" s="41">
        <v>422.25</v>
      </c>
      <c r="J24" s="55">
        <v>563</v>
      </c>
      <c r="K24" s="55">
        <v>570</v>
      </c>
      <c r="L24" s="56">
        <v>576</v>
      </c>
      <c r="M24" s="56">
        <v>582</v>
      </c>
    </row>
    <row r="25" spans="1:13" s="14" customFormat="1" ht="17.100000000000001" customHeight="1">
      <c r="A25" s="35">
        <v>11</v>
      </c>
      <c r="B25" s="45" t="s">
        <v>47</v>
      </c>
      <c r="C25" s="45">
        <v>778.69299999999998</v>
      </c>
      <c r="D25" s="45">
        <v>1051.5129999999999</v>
      </c>
      <c r="E25" s="45">
        <v>1141</v>
      </c>
      <c r="F25" s="45">
        <v>963.00199999999995</v>
      </c>
      <c r="G25" s="41">
        <v>283.75</v>
      </c>
      <c r="H25" s="41">
        <v>567.5</v>
      </c>
      <c r="I25" s="41">
        <v>851.25</v>
      </c>
      <c r="J25" s="45">
        <v>1135</v>
      </c>
      <c r="K25" s="55">
        <v>1101</v>
      </c>
      <c r="L25" s="55">
        <v>1112</v>
      </c>
      <c r="M25" s="55">
        <v>1123</v>
      </c>
    </row>
    <row r="26" spans="1:13" ht="17.100000000000001" customHeight="1">
      <c r="A26" s="35">
        <v>12</v>
      </c>
      <c r="B26" s="45" t="s">
        <v>48</v>
      </c>
      <c r="C26" s="45">
        <v>696.08799999999997</v>
      </c>
      <c r="D26" s="45">
        <v>683.33600000000001</v>
      </c>
      <c r="E26" s="45">
        <v>700.06200000000001</v>
      </c>
      <c r="F26" s="45">
        <v>623.52200000000005</v>
      </c>
      <c r="G26" s="41">
        <v>167</v>
      </c>
      <c r="H26" s="41">
        <v>334</v>
      </c>
      <c r="I26" s="41">
        <v>501</v>
      </c>
      <c r="J26" s="55">
        <v>668</v>
      </c>
      <c r="K26" s="55">
        <v>668</v>
      </c>
      <c r="L26" s="56">
        <v>668</v>
      </c>
      <c r="M26" s="56">
        <v>668</v>
      </c>
    </row>
    <row r="27" spans="1:13" ht="17.100000000000001" customHeight="1">
      <c r="A27" s="35">
        <v>13</v>
      </c>
      <c r="B27" s="47" t="s">
        <v>49</v>
      </c>
      <c r="C27" s="47">
        <f t="shared" ref="C27:M27" si="2">SUM(C20:C26)</f>
        <v>9054.9930000000004</v>
      </c>
      <c r="D27" s="47">
        <f>SUM(D20:D26)</f>
        <v>9101.650999999998</v>
      </c>
      <c r="E27" s="47">
        <f>SUM(E20:E26)</f>
        <v>9465.7941047628501</v>
      </c>
      <c r="F27" s="47">
        <f t="shared" ref="F27:I27" si="3">SUM(F20:F26)</f>
        <v>9337.9850000000006</v>
      </c>
      <c r="G27" s="69">
        <f t="shared" si="3"/>
        <v>2282.915519744085</v>
      </c>
      <c r="H27" s="69">
        <f t="shared" si="3"/>
        <v>4565.8310394881701</v>
      </c>
      <c r="I27" s="69">
        <f t="shared" si="3"/>
        <v>6848.7465592322551</v>
      </c>
      <c r="J27" s="50">
        <f t="shared" si="2"/>
        <v>9131.6620789763401</v>
      </c>
      <c r="K27" s="50">
        <f t="shared" si="2"/>
        <v>9098.41362170098</v>
      </c>
      <c r="L27" s="51">
        <f t="shared" si="2"/>
        <v>9208.79871501665</v>
      </c>
      <c r="M27" s="51">
        <f t="shared" si="2"/>
        <v>9323.74</v>
      </c>
    </row>
    <row r="28" spans="1:13" ht="17.100000000000001" customHeight="1">
      <c r="A28" s="35">
        <v>14</v>
      </c>
      <c r="B28" s="52" t="s">
        <v>50</v>
      </c>
      <c r="C28" s="52">
        <f>C19-C27</f>
        <v>739.66699999999764</v>
      </c>
      <c r="D28" s="52">
        <f t="shared" ref="D28:M28" si="4">D19-D27</f>
        <v>396.69300000000112</v>
      </c>
      <c r="E28" s="52">
        <f t="shared" si="4"/>
        <v>337.80589523715025</v>
      </c>
      <c r="F28" s="52">
        <f t="shared" si="4"/>
        <v>1126.0830000000005</v>
      </c>
      <c r="G28" s="70">
        <f t="shared" si="4"/>
        <v>227.33448025591497</v>
      </c>
      <c r="H28" s="70">
        <f t="shared" si="4"/>
        <v>454.66896051182994</v>
      </c>
      <c r="I28" s="70">
        <f t="shared" si="4"/>
        <v>682.00344076774491</v>
      </c>
      <c r="J28" s="52">
        <f t="shared" si="4"/>
        <v>906.33792102365987</v>
      </c>
      <c r="K28" s="52">
        <f t="shared" si="4"/>
        <v>879.58637829902</v>
      </c>
      <c r="L28" s="52">
        <f t="shared" si="4"/>
        <v>709.20128498334998</v>
      </c>
      <c r="M28" s="54">
        <f t="shared" si="4"/>
        <v>535.26000000000022</v>
      </c>
    </row>
    <row r="29" spans="1:13" ht="17.100000000000001" customHeight="1">
      <c r="A29" s="35">
        <v>15</v>
      </c>
      <c r="B29" s="45" t="s">
        <v>51</v>
      </c>
      <c r="C29" s="45"/>
      <c r="D29" s="45"/>
      <c r="E29" s="45"/>
      <c r="F29" s="45"/>
      <c r="G29" s="41"/>
      <c r="H29" s="41"/>
      <c r="I29" s="41"/>
      <c r="J29" s="55"/>
      <c r="K29" s="55"/>
      <c r="L29" s="56"/>
      <c r="M29" s="56"/>
    </row>
    <row r="30" spans="1:13" s="14" customFormat="1" ht="17.100000000000001" customHeight="1">
      <c r="A30" s="35">
        <v>16</v>
      </c>
      <c r="B30" s="45" t="s">
        <v>52</v>
      </c>
      <c r="C30" s="45">
        <v>11.025</v>
      </c>
      <c r="D30" s="45">
        <v>11</v>
      </c>
      <c r="E30" s="45">
        <v>11</v>
      </c>
      <c r="F30" s="45">
        <v>11</v>
      </c>
      <c r="G30" s="41">
        <v>2.75</v>
      </c>
      <c r="H30" s="41">
        <v>5.5</v>
      </c>
      <c r="I30" s="41">
        <v>8.25</v>
      </c>
      <c r="J30" s="55">
        <v>11</v>
      </c>
      <c r="K30" s="55">
        <v>11</v>
      </c>
      <c r="L30" s="56">
        <v>11</v>
      </c>
      <c r="M30" s="56">
        <v>11</v>
      </c>
    </row>
    <row r="31" spans="1:13" s="14" customFormat="1" ht="17.100000000000001" customHeight="1">
      <c r="A31" s="35">
        <v>17</v>
      </c>
      <c r="B31" s="45" t="s">
        <v>53</v>
      </c>
      <c r="C31" s="45">
        <v>536.86699999999996</v>
      </c>
      <c r="D31" s="45">
        <v>536.85599999999999</v>
      </c>
      <c r="E31" s="45">
        <v>325.05</v>
      </c>
      <c r="F31" s="45">
        <v>538.15499999999997</v>
      </c>
      <c r="G31" s="41">
        <v>81.262500000000003</v>
      </c>
      <c r="H31" s="41">
        <v>162.52500000000001</v>
      </c>
      <c r="I31" s="41">
        <v>243.78750000000002</v>
      </c>
      <c r="J31" s="45">
        <v>325.05</v>
      </c>
      <c r="K31" s="45">
        <v>325.05</v>
      </c>
      <c r="L31" s="45">
        <v>325.05</v>
      </c>
      <c r="M31" s="44">
        <v>325.05</v>
      </c>
    </row>
    <row r="32" spans="1:13" ht="17.100000000000001" customHeight="1">
      <c r="A32" s="35">
        <v>18</v>
      </c>
      <c r="B32" s="57" t="s">
        <v>54</v>
      </c>
      <c r="C32" s="57">
        <f>C29+C30-C31</f>
        <v>-525.84199999999998</v>
      </c>
      <c r="D32" s="57">
        <f t="shared" ref="D32:M32" si="5">D29+D30-D31</f>
        <v>-525.85599999999999</v>
      </c>
      <c r="E32" s="57">
        <f t="shared" si="5"/>
        <v>-314.05</v>
      </c>
      <c r="F32" s="57">
        <f t="shared" si="5"/>
        <v>-527.15499999999997</v>
      </c>
      <c r="G32" s="71">
        <f t="shared" si="5"/>
        <v>-78.512500000000003</v>
      </c>
      <c r="H32" s="71">
        <f t="shared" si="5"/>
        <v>-157.02500000000001</v>
      </c>
      <c r="I32" s="71">
        <f t="shared" si="5"/>
        <v>-235.53750000000002</v>
      </c>
      <c r="J32" s="57">
        <f t="shared" si="5"/>
        <v>-314.05</v>
      </c>
      <c r="K32" s="57">
        <f t="shared" si="5"/>
        <v>-314.05</v>
      </c>
      <c r="L32" s="57">
        <f t="shared" si="5"/>
        <v>-314.05</v>
      </c>
      <c r="M32" s="59">
        <f t="shared" si="5"/>
        <v>-314.05</v>
      </c>
    </row>
    <row r="33" spans="1:13" ht="17.100000000000001" customHeight="1">
      <c r="A33" s="35">
        <v>19</v>
      </c>
      <c r="B33" s="60" t="s">
        <v>55</v>
      </c>
      <c r="C33" s="52">
        <f t="shared" ref="C33:M33" si="6">C28+C32</f>
        <v>213.82499999999766</v>
      </c>
      <c r="D33" s="52">
        <f t="shared" si="6"/>
        <v>-129.16299999999887</v>
      </c>
      <c r="E33" s="52">
        <f>E28+E32</f>
        <v>23.755895237150241</v>
      </c>
      <c r="F33" s="52">
        <f t="shared" ref="F33:I33" si="7">F28+F32</f>
        <v>598.92800000000057</v>
      </c>
      <c r="G33" s="70">
        <f t="shared" si="7"/>
        <v>148.82198025591498</v>
      </c>
      <c r="H33" s="70">
        <f t="shared" si="7"/>
        <v>297.64396051182996</v>
      </c>
      <c r="I33" s="70">
        <f t="shared" si="7"/>
        <v>446.46594076774488</v>
      </c>
      <c r="J33" s="61">
        <f t="shared" si="6"/>
        <v>592.28792102365992</v>
      </c>
      <c r="K33" s="61">
        <f t="shared" si="6"/>
        <v>565.53637829902004</v>
      </c>
      <c r="L33" s="62">
        <f t="shared" si="6"/>
        <v>395.15128498334997</v>
      </c>
      <c r="M33" s="62">
        <f t="shared" si="6"/>
        <v>221.21000000000021</v>
      </c>
    </row>
    <row r="34" spans="1:13" ht="17.100000000000001" customHeight="1">
      <c r="A34" s="35">
        <v>20</v>
      </c>
      <c r="B34" s="4" t="s">
        <v>56</v>
      </c>
      <c r="C34" s="4"/>
      <c r="D34" s="4"/>
      <c r="E34" s="4"/>
      <c r="F34" s="4"/>
      <c r="G34" s="2"/>
      <c r="H34" s="2"/>
      <c r="I34" s="2"/>
      <c r="J34" s="6"/>
      <c r="K34" s="6"/>
      <c r="L34" s="7"/>
      <c r="M34" s="7"/>
    </row>
    <row r="35" spans="1:13" ht="17.100000000000001" customHeight="1">
      <c r="A35" s="35">
        <v>21</v>
      </c>
      <c r="B35" s="45" t="s">
        <v>57</v>
      </c>
      <c r="C35" s="45">
        <v>94.188999999999993</v>
      </c>
      <c r="D35" s="45">
        <v>38.787999999999997</v>
      </c>
      <c r="E35" s="45">
        <v>34</v>
      </c>
      <c r="F35" s="45">
        <v>21.739000000000001</v>
      </c>
      <c r="G35" s="41">
        <v>28.25</v>
      </c>
      <c r="H35" s="41">
        <v>56.5</v>
      </c>
      <c r="I35" s="41">
        <v>84.75</v>
      </c>
      <c r="J35" s="55">
        <v>113</v>
      </c>
      <c r="K35" s="55">
        <v>113</v>
      </c>
      <c r="L35" s="55">
        <v>110</v>
      </c>
      <c r="M35" s="55">
        <v>108</v>
      </c>
    </row>
    <row r="36" spans="1:13" ht="17.100000000000001" customHeight="1">
      <c r="A36" s="63">
        <v>22</v>
      </c>
      <c r="B36" s="64" t="s">
        <v>58</v>
      </c>
      <c r="C36" s="64">
        <f t="shared" ref="C36:M36" si="8">C33+C34-C35</f>
        <v>119.63599999999767</v>
      </c>
      <c r="D36" s="64">
        <f t="shared" si="8"/>
        <v>-167.95099999999888</v>
      </c>
      <c r="E36" s="64">
        <f t="shared" si="8"/>
        <v>-10.244104762849759</v>
      </c>
      <c r="F36" s="64">
        <f t="shared" si="8"/>
        <v>577.18900000000053</v>
      </c>
      <c r="G36" s="72">
        <f t="shared" si="8"/>
        <v>120.57198025591498</v>
      </c>
      <c r="H36" s="72">
        <f t="shared" si="8"/>
        <v>241.14396051182996</v>
      </c>
      <c r="I36" s="72">
        <f t="shared" si="8"/>
        <v>361.71594076774488</v>
      </c>
      <c r="J36" s="66">
        <f t="shared" si="8"/>
        <v>479.28792102365992</v>
      </c>
      <c r="K36" s="66">
        <f t="shared" si="8"/>
        <v>452.53637829902004</v>
      </c>
      <c r="L36" s="67">
        <f t="shared" si="8"/>
        <v>285.15128498334997</v>
      </c>
      <c r="M36" s="67">
        <f t="shared" si="8"/>
        <v>113.21000000000021</v>
      </c>
    </row>
    <row r="37" spans="1:13">
      <c r="A37" s="88"/>
      <c r="B37" s="88"/>
      <c r="C37" s="88"/>
      <c r="D37" s="88"/>
      <c r="E37" s="88"/>
      <c r="F37" s="88"/>
      <c r="G37" s="89"/>
      <c r="H37" s="89"/>
      <c r="I37" s="89"/>
      <c r="J37" s="88"/>
      <c r="K37" s="88"/>
      <c r="L37" s="88"/>
      <c r="M37" s="88"/>
    </row>
    <row r="38" spans="1:13">
      <c r="J38" s="1"/>
      <c r="K38" s="1"/>
      <c r="L38" s="1"/>
      <c r="M38" s="1"/>
    </row>
  </sheetData>
  <mergeCells count="13">
    <mergeCell ref="A8:B8"/>
    <mergeCell ref="B10:M10"/>
    <mergeCell ref="J1:M3"/>
    <mergeCell ref="A6:B6"/>
    <mergeCell ref="G6:M6"/>
    <mergeCell ref="A7:B7"/>
    <mergeCell ref="C7:F7"/>
    <mergeCell ref="G7:K7"/>
    <mergeCell ref="L7:M7"/>
    <mergeCell ref="A1:E3"/>
    <mergeCell ref="A4:M4"/>
    <mergeCell ref="A5:B5"/>
    <mergeCell ref="C5:M5"/>
  </mergeCells>
  <pageMargins left="0.51181102362204722" right="0" top="0.39370078740157483" bottom="0.19685039370078741" header="0.31496062992125984" footer="0.31496062992125984"/>
  <pageSetup paperSize="9" scale="70" orientation="landscape" r:id="rId1"/>
  <headerFooter>
    <oddHeader>&amp;RBlatt 2b</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view="pageLayout" zoomScale="50" zoomScaleNormal="100" zoomScalePageLayoutView="50" workbookViewId="0">
      <selection activeCell="C17" sqref="C17"/>
    </sheetView>
  </sheetViews>
  <sheetFormatPr baseColWidth="10" defaultRowHeight="15"/>
  <cols>
    <col min="1" max="1" width="6.28515625" customWidth="1"/>
    <col min="2" max="2" width="30.28515625" customWidth="1"/>
    <col min="3" max="13" width="12.7109375" customWidth="1"/>
  </cols>
  <sheetData>
    <row r="1" spans="1:13" ht="15" customHeight="1">
      <c r="A1" s="470" t="s">
        <v>0</v>
      </c>
      <c r="B1" s="470"/>
      <c r="C1" s="470"/>
      <c r="D1" s="470"/>
      <c r="E1" s="471"/>
      <c r="F1" s="8"/>
      <c r="G1" s="8"/>
      <c r="H1" s="8"/>
      <c r="I1" s="8"/>
      <c r="J1" s="474" t="s">
        <v>1</v>
      </c>
      <c r="K1" s="475"/>
      <c r="L1" s="475"/>
      <c r="M1" s="475"/>
    </row>
    <row r="2" spans="1:13">
      <c r="A2" s="470"/>
      <c r="B2" s="470"/>
      <c r="C2" s="470"/>
      <c r="D2" s="470"/>
      <c r="E2" s="471"/>
      <c r="F2" s="8"/>
      <c r="G2" s="8"/>
      <c r="H2" s="8"/>
      <c r="I2" s="8"/>
      <c r="J2" s="475"/>
      <c r="K2" s="475"/>
      <c r="L2" s="475"/>
      <c r="M2" s="475"/>
    </row>
    <row r="3" spans="1:13">
      <c r="A3" s="472"/>
      <c r="B3" s="472"/>
      <c r="C3" s="472"/>
      <c r="D3" s="472"/>
      <c r="E3" s="473"/>
      <c r="F3" s="23"/>
      <c r="G3" s="23"/>
      <c r="H3" s="23"/>
      <c r="I3" s="23"/>
      <c r="J3" s="476"/>
      <c r="K3" s="476"/>
      <c r="L3" s="476"/>
      <c r="M3" s="476"/>
    </row>
    <row r="4" spans="1:13" ht="18">
      <c r="A4" s="477" t="s">
        <v>2</v>
      </c>
      <c r="B4" s="478"/>
      <c r="C4" s="478"/>
      <c r="D4" s="478"/>
      <c r="E4" s="478"/>
      <c r="F4" s="478"/>
      <c r="G4" s="478"/>
      <c r="H4" s="478"/>
      <c r="I4" s="478"/>
      <c r="J4" s="478"/>
      <c r="K4" s="478"/>
      <c r="L4" s="478"/>
      <c r="M4" s="479"/>
    </row>
    <row r="5" spans="1:13" ht="15.75" customHeight="1">
      <c r="A5" s="480" t="s">
        <v>3</v>
      </c>
      <c r="B5" s="481"/>
      <c r="C5" s="482" t="s">
        <v>4</v>
      </c>
      <c r="D5" s="482"/>
      <c r="E5" s="482"/>
      <c r="F5" s="482"/>
      <c r="G5" s="482"/>
      <c r="H5" s="482"/>
      <c r="I5" s="482"/>
      <c r="J5" s="483"/>
      <c r="K5" s="483"/>
      <c r="L5" s="483"/>
      <c r="M5" s="484"/>
    </row>
    <row r="6" spans="1:13" ht="15" customHeight="1">
      <c r="A6" s="480" t="s">
        <v>5</v>
      </c>
      <c r="B6" s="481"/>
      <c r="C6" s="24"/>
      <c r="D6" s="24"/>
      <c r="E6" s="24"/>
      <c r="F6" s="24"/>
      <c r="G6" s="485" t="s">
        <v>6</v>
      </c>
      <c r="H6" s="486"/>
      <c r="I6" s="486"/>
      <c r="J6" s="486"/>
      <c r="K6" s="486"/>
      <c r="L6" s="486"/>
      <c r="M6" s="487"/>
    </row>
    <row r="7" spans="1:13" ht="15" customHeight="1">
      <c r="A7" s="488"/>
      <c r="B7" s="489"/>
      <c r="C7" s="490" t="s">
        <v>70</v>
      </c>
      <c r="D7" s="491"/>
      <c r="E7" s="491"/>
      <c r="F7" s="492"/>
      <c r="G7" s="493" t="s">
        <v>8</v>
      </c>
      <c r="H7" s="494"/>
      <c r="I7" s="495"/>
      <c r="J7" s="495"/>
      <c r="K7" s="496"/>
      <c r="L7" s="493" t="s">
        <v>9</v>
      </c>
      <c r="M7" s="497"/>
    </row>
    <row r="8" spans="1:13">
      <c r="A8" s="498" t="s">
        <v>10</v>
      </c>
      <c r="B8" s="499"/>
      <c r="C8" s="26" t="s">
        <v>11</v>
      </c>
      <c r="D8" s="26" t="s">
        <v>11</v>
      </c>
      <c r="E8" s="26" t="s">
        <v>12</v>
      </c>
      <c r="F8" s="26" t="s">
        <v>13</v>
      </c>
      <c r="G8" s="27" t="s">
        <v>14</v>
      </c>
      <c r="H8" s="27" t="s">
        <v>15</v>
      </c>
      <c r="I8" s="27" t="s">
        <v>16</v>
      </c>
      <c r="J8" s="27" t="s">
        <v>17</v>
      </c>
      <c r="K8" s="26" t="s">
        <v>18</v>
      </c>
      <c r="L8" s="28" t="s">
        <v>18</v>
      </c>
      <c r="M8" s="29" t="s">
        <v>18</v>
      </c>
    </row>
    <row r="9" spans="1:13">
      <c r="A9" s="30"/>
      <c r="B9" s="10"/>
      <c r="C9" s="31">
        <v>2015</v>
      </c>
      <c r="D9" s="31">
        <v>2016</v>
      </c>
      <c r="E9" s="31">
        <v>2017</v>
      </c>
      <c r="F9" s="31">
        <v>2017</v>
      </c>
      <c r="G9" s="32">
        <v>2018</v>
      </c>
      <c r="H9" s="32">
        <v>2018</v>
      </c>
      <c r="I9" s="32">
        <v>2018</v>
      </c>
      <c r="J9" s="32">
        <v>2018</v>
      </c>
      <c r="K9" s="33">
        <v>2019</v>
      </c>
      <c r="L9" s="11">
        <v>2020</v>
      </c>
      <c r="M9" s="33">
        <v>2021</v>
      </c>
    </row>
    <row r="10" spans="1:13" ht="15" customHeight="1">
      <c r="A10" s="34" t="s">
        <v>19</v>
      </c>
      <c r="B10" s="467" t="s">
        <v>20</v>
      </c>
      <c r="C10" s="468"/>
      <c r="D10" s="468"/>
      <c r="E10" s="468"/>
      <c r="F10" s="468"/>
      <c r="G10" s="468"/>
      <c r="H10" s="468"/>
      <c r="I10" s="468"/>
      <c r="J10" s="468"/>
      <c r="K10" s="468"/>
      <c r="L10" s="468"/>
      <c r="M10" s="469"/>
    </row>
    <row r="11" spans="1:13" ht="17.100000000000001" customHeight="1">
      <c r="A11" s="35">
        <v>1</v>
      </c>
      <c r="B11" s="36" t="s">
        <v>21</v>
      </c>
      <c r="C11" s="36">
        <f t="shared" ref="C11:M11" si="0">SUM(C12:C14)</f>
        <v>2784.636</v>
      </c>
      <c r="D11" s="36">
        <f t="shared" si="0"/>
        <v>2940.92</v>
      </c>
      <c r="E11" s="36">
        <f t="shared" si="0"/>
        <v>2941.2</v>
      </c>
      <c r="F11" s="36">
        <f t="shared" si="0"/>
        <v>3144.2489999999998</v>
      </c>
      <c r="G11" s="68">
        <f t="shared" si="0"/>
        <v>734.97500000000002</v>
      </c>
      <c r="H11" s="68">
        <f t="shared" si="0"/>
        <v>1469.95</v>
      </c>
      <c r="I11" s="68">
        <f t="shared" si="0"/>
        <v>2204.9250000000002</v>
      </c>
      <c r="J11" s="36">
        <f t="shared" si="0"/>
        <v>2941</v>
      </c>
      <c r="K11" s="36">
        <f t="shared" si="0"/>
        <v>2958.7779999999998</v>
      </c>
      <c r="L11" s="36">
        <f t="shared" si="0"/>
        <v>3007.5940000000001</v>
      </c>
      <c r="M11" s="38">
        <f t="shared" si="0"/>
        <v>3057.386</v>
      </c>
    </row>
    <row r="12" spans="1:13" s="78" customFormat="1" ht="17.100000000000001" customHeight="1">
      <c r="A12" s="39" t="s">
        <v>22</v>
      </c>
      <c r="B12" s="40" t="s">
        <v>23</v>
      </c>
      <c r="C12" s="41">
        <v>2443.105</v>
      </c>
      <c r="D12" s="41">
        <v>2534.9960000000001</v>
      </c>
      <c r="E12" s="41">
        <v>2551</v>
      </c>
      <c r="F12" s="41">
        <v>2766.87</v>
      </c>
      <c r="G12" s="41">
        <v>642.97500000000002</v>
      </c>
      <c r="H12" s="41">
        <v>1285.95</v>
      </c>
      <c r="I12" s="41">
        <v>1928.9250000000002</v>
      </c>
      <c r="J12" s="74">
        <v>2573</v>
      </c>
      <c r="K12" s="74">
        <v>2590.7779999999998</v>
      </c>
      <c r="L12" s="74">
        <v>2639.5940000000001</v>
      </c>
      <c r="M12" s="74">
        <v>2689.386</v>
      </c>
    </row>
    <row r="13" spans="1:13" s="78" customFormat="1" ht="17.100000000000001" customHeight="1">
      <c r="A13" s="43" t="s">
        <v>24</v>
      </c>
      <c r="B13" s="40" t="s">
        <v>33</v>
      </c>
      <c r="C13" s="41">
        <v>0.748</v>
      </c>
      <c r="D13" s="41">
        <v>0.44</v>
      </c>
      <c r="E13" s="41"/>
      <c r="F13" s="41"/>
      <c r="G13" s="41"/>
      <c r="H13" s="41"/>
      <c r="I13" s="41"/>
      <c r="J13" s="55"/>
      <c r="K13" s="55"/>
      <c r="L13" s="55"/>
      <c r="M13" s="55"/>
    </row>
    <row r="14" spans="1:13" s="78" customFormat="1" ht="17.100000000000001" customHeight="1">
      <c r="A14" s="43" t="s">
        <v>26</v>
      </c>
      <c r="B14" s="40" t="s">
        <v>37</v>
      </c>
      <c r="C14" s="41">
        <f>SUM(C15:C16)</f>
        <v>340.78300000000002</v>
      </c>
      <c r="D14" s="41">
        <f t="shared" ref="D14:M14" si="1">SUM(D15:D16)</f>
        <v>405.48400000000004</v>
      </c>
      <c r="E14" s="41">
        <f t="shared" si="1"/>
        <v>390.2</v>
      </c>
      <c r="F14" s="41">
        <f t="shared" si="1"/>
        <v>377.37900000000002</v>
      </c>
      <c r="G14" s="41">
        <f t="shared" si="1"/>
        <v>92</v>
      </c>
      <c r="H14" s="41">
        <f t="shared" si="1"/>
        <v>184</v>
      </c>
      <c r="I14" s="41">
        <f t="shared" si="1"/>
        <v>276</v>
      </c>
      <c r="J14" s="41">
        <f t="shared" si="1"/>
        <v>368</v>
      </c>
      <c r="K14" s="41">
        <f t="shared" si="1"/>
        <v>368</v>
      </c>
      <c r="L14" s="41">
        <f t="shared" si="1"/>
        <v>368</v>
      </c>
      <c r="M14" s="42">
        <f t="shared" si="1"/>
        <v>368</v>
      </c>
    </row>
    <row r="15" spans="1:13" s="78" customFormat="1" ht="17.100000000000001" customHeight="1">
      <c r="A15" s="43"/>
      <c r="B15" s="83" t="s">
        <v>65</v>
      </c>
      <c r="C15" s="41">
        <v>150.15199999999999</v>
      </c>
      <c r="D15" s="41">
        <v>210.209</v>
      </c>
      <c r="E15" s="41">
        <v>205.2</v>
      </c>
      <c r="F15" s="41">
        <v>191.2</v>
      </c>
      <c r="G15" s="41">
        <v>45</v>
      </c>
      <c r="H15" s="41">
        <v>90</v>
      </c>
      <c r="I15" s="41">
        <v>135</v>
      </c>
      <c r="J15" s="90">
        <v>180</v>
      </c>
      <c r="K15" s="90">
        <v>180</v>
      </c>
      <c r="L15" s="91">
        <v>180</v>
      </c>
      <c r="M15" s="82">
        <v>180</v>
      </c>
    </row>
    <row r="16" spans="1:13" s="78" customFormat="1" ht="17.100000000000001" customHeight="1">
      <c r="A16" s="43"/>
      <c r="B16" s="83" t="s">
        <v>71</v>
      </c>
      <c r="C16" s="41">
        <v>190.631</v>
      </c>
      <c r="D16" s="41">
        <v>195.27500000000001</v>
      </c>
      <c r="E16" s="41">
        <v>185</v>
      </c>
      <c r="F16" s="41">
        <v>186.179</v>
      </c>
      <c r="G16" s="41">
        <v>47</v>
      </c>
      <c r="H16" s="41">
        <v>94</v>
      </c>
      <c r="I16" s="41">
        <v>141</v>
      </c>
      <c r="J16" s="90">
        <v>188</v>
      </c>
      <c r="K16" s="90">
        <v>188</v>
      </c>
      <c r="L16" s="90">
        <v>188</v>
      </c>
      <c r="M16" s="90">
        <v>188</v>
      </c>
    </row>
    <row r="17" spans="1:14" s="14" customFormat="1" ht="17.100000000000001" customHeight="1">
      <c r="A17" s="35">
        <v>2</v>
      </c>
      <c r="B17" s="44" t="s">
        <v>38</v>
      </c>
      <c r="C17" s="45"/>
      <c r="D17" s="45"/>
      <c r="E17" s="45"/>
      <c r="F17" s="45"/>
      <c r="G17" s="41"/>
      <c r="H17" s="41"/>
      <c r="I17" s="41"/>
      <c r="J17" s="55"/>
      <c r="K17" s="55"/>
      <c r="L17" s="56"/>
      <c r="M17" s="56"/>
    </row>
    <row r="18" spans="1:14" s="14" customFormat="1" ht="17.100000000000001" customHeight="1">
      <c r="A18" s="35">
        <v>3</v>
      </c>
      <c r="B18" s="44" t="s">
        <v>39</v>
      </c>
      <c r="C18" s="45"/>
      <c r="D18" s="45"/>
      <c r="E18" s="45"/>
      <c r="F18" s="45"/>
      <c r="G18" s="41"/>
      <c r="H18" s="41"/>
      <c r="I18" s="41"/>
      <c r="J18" s="55"/>
      <c r="K18" s="55"/>
      <c r="L18" s="56"/>
      <c r="M18" s="56"/>
    </row>
    <row r="19" spans="1:14" s="14" customFormat="1" ht="17.100000000000001" customHeight="1">
      <c r="A19" s="35">
        <v>4</v>
      </c>
      <c r="B19" s="45" t="s">
        <v>40</v>
      </c>
      <c r="C19" s="45">
        <v>17.259</v>
      </c>
      <c r="D19" s="45">
        <v>4.7160000000000002</v>
      </c>
      <c r="E19" s="45">
        <v>8</v>
      </c>
      <c r="F19" s="45">
        <v>8</v>
      </c>
      <c r="G19" s="41">
        <v>2.5</v>
      </c>
      <c r="H19" s="41">
        <v>5</v>
      </c>
      <c r="I19" s="41">
        <v>7.5</v>
      </c>
      <c r="J19" s="55">
        <v>10</v>
      </c>
      <c r="K19" s="55">
        <v>10</v>
      </c>
      <c r="L19" s="56">
        <v>10</v>
      </c>
      <c r="M19" s="56">
        <v>10</v>
      </c>
    </row>
    <row r="20" spans="1:14" s="14" customFormat="1" ht="17.100000000000001" customHeight="1">
      <c r="A20" s="35">
        <v>5</v>
      </c>
      <c r="B20" s="47" t="s">
        <v>41</v>
      </c>
      <c r="C20" s="47">
        <f t="shared" ref="C20:M20" si="2">C11+C17+C18+C19</f>
        <v>2801.895</v>
      </c>
      <c r="D20" s="47">
        <f t="shared" si="2"/>
        <v>2945.636</v>
      </c>
      <c r="E20" s="47">
        <f t="shared" si="2"/>
        <v>2949.2</v>
      </c>
      <c r="F20" s="47">
        <f t="shared" si="2"/>
        <v>3152.2489999999998</v>
      </c>
      <c r="G20" s="69">
        <f t="shared" si="2"/>
        <v>737.47500000000002</v>
      </c>
      <c r="H20" s="69">
        <f t="shared" si="2"/>
        <v>1474.95</v>
      </c>
      <c r="I20" s="69">
        <f t="shared" si="2"/>
        <v>2212.4250000000002</v>
      </c>
      <c r="J20" s="47">
        <f t="shared" si="2"/>
        <v>2951</v>
      </c>
      <c r="K20" s="47">
        <f t="shared" si="2"/>
        <v>2968.7779999999998</v>
      </c>
      <c r="L20" s="47">
        <f t="shared" si="2"/>
        <v>3017.5940000000001</v>
      </c>
      <c r="M20" s="49">
        <f t="shared" si="2"/>
        <v>3067.386</v>
      </c>
    </row>
    <row r="21" spans="1:14" s="14" customFormat="1" ht="17.100000000000001" customHeight="1">
      <c r="A21" s="35">
        <v>6</v>
      </c>
      <c r="B21" s="45" t="s">
        <v>42</v>
      </c>
      <c r="C21" s="45">
        <v>201.726</v>
      </c>
      <c r="D21" s="45">
        <v>236.352</v>
      </c>
      <c r="E21" s="45">
        <v>273.87900000000002</v>
      </c>
      <c r="F21" s="45">
        <v>268.702</v>
      </c>
      <c r="G21" s="41">
        <v>67.5</v>
      </c>
      <c r="H21" s="41">
        <v>135</v>
      </c>
      <c r="I21" s="41">
        <v>202.5</v>
      </c>
      <c r="J21" s="55">
        <v>270</v>
      </c>
      <c r="K21" s="55">
        <v>272.7</v>
      </c>
      <c r="L21" s="55">
        <v>275.42699999999996</v>
      </c>
      <c r="M21" s="55">
        <v>278.18126999999998</v>
      </c>
    </row>
    <row r="22" spans="1:14" ht="17.100000000000001" customHeight="1">
      <c r="A22" s="35">
        <v>7</v>
      </c>
      <c r="B22" s="45" t="s">
        <v>43</v>
      </c>
      <c r="C22" s="45">
        <v>306.94499999999999</v>
      </c>
      <c r="D22" s="45">
        <v>420.94600000000003</v>
      </c>
      <c r="E22" s="45">
        <v>448.28100000000001</v>
      </c>
      <c r="F22" s="45">
        <v>443.21300000000002</v>
      </c>
      <c r="G22" s="41">
        <v>113.75</v>
      </c>
      <c r="H22" s="41">
        <v>227.5</v>
      </c>
      <c r="I22" s="41">
        <v>341.25</v>
      </c>
      <c r="J22" s="55">
        <v>455</v>
      </c>
      <c r="K22" s="55">
        <v>459.55</v>
      </c>
      <c r="L22" s="56">
        <v>472</v>
      </c>
      <c r="M22" s="56">
        <v>475</v>
      </c>
    </row>
    <row r="23" spans="1:14" ht="17.100000000000001" customHeight="1">
      <c r="A23" s="35">
        <v>8</v>
      </c>
      <c r="B23" s="45" t="s">
        <v>44</v>
      </c>
      <c r="C23" s="45">
        <v>1081.298</v>
      </c>
      <c r="D23" s="45">
        <v>1116.193</v>
      </c>
      <c r="E23" s="45">
        <v>1168.94591478539</v>
      </c>
      <c r="F23" s="45">
        <v>1321.2619999999999</v>
      </c>
      <c r="G23" s="41">
        <v>292.89742337679252</v>
      </c>
      <c r="H23" s="41">
        <v>585.79484675358503</v>
      </c>
      <c r="I23" s="41">
        <v>878.69227013037755</v>
      </c>
      <c r="J23" s="55">
        <v>1171.5896935071701</v>
      </c>
      <c r="K23" s="55">
        <v>1151.6379999999999</v>
      </c>
      <c r="L23" s="56">
        <v>1157.1310000000001</v>
      </c>
      <c r="M23" s="56">
        <v>1172.1790000000001</v>
      </c>
    </row>
    <row r="24" spans="1:14" ht="17.100000000000001" customHeight="1">
      <c r="A24" s="35">
        <v>9</v>
      </c>
      <c r="B24" s="45" t="s">
        <v>45</v>
      </c>
      <c r="C24" s="45">
        <v>397</v>
      </c>
      <c r="D24" s="45">
        <v>370.66300000000001</v>
      </c>
      <c r="E24" s="45">
        <v>353.86200000000002</v>
      </c>
      <c r="F24" s="45">
        <v>353.86200000000002</v>
      </c>
      <c r="G24" s="41">
        <v>92</v>
      </c>
      <c r="H24" s="41">
        <v>184</v>
      </c>
      <c r="I24" s="41">
        <v>276</v>
      </c>
      <c r="J24" s="55">
        <v>369</v>
      </c>
      <c r="K24" s="55">
        <v>408</v>
      </c>
      <c r="L24" s="55">
        <v>452</v>
      </c>
      <c r="M24" s="55">
        <v>472</v>
      </c>
    </row>
    <row r="25" spans="1:14" ht="17.100000000000001" customHeight="1">
      <c r="A25" s="35">
        <v>10</v>
      </c>
      <c r="B25" s="45" t="s">
        <v>46</v>
      </c>
      <c r="C25" s="45">
        <v>250.875</v>
      </c>
      <c r="D25" s="45">
        <v>112.045</v>
      </c>
      <c r="E25" s="45">
        <v>189.26900000000001</v>
      </c>
      <c r="F25" s="45">
        <v>190.18899999999999</v>
      </c>
      <c r="G25" s="41">
        <v>47.5</v>
      </c>
      <c r="H25" s="41">
        <v>95</v>
      </c>
      <c r="I25" s="41">
        <v>142.5</v>
      </c>
      <c r="J25" s="55">
        <v>185</v>
      </c>
      <c r="K25" s="56">
        <v>197</v>
      </c>
      <c r="L25" s="56">
        <v>198</v>
      </c>
      <c r="M25" s="56">
        <v>200</v>
      </c>
    </row>
    <row r="26" spans="1:14" s="14" customFormat="1" ht="17.100000000000001" customHeight="1">
      <c r="A26" s="35">
        <v>11</v>
      </c>
      <c r="B26" s="45" t="s">
        <v>47</v>
      </c>
      <c r="C26" s="45">
        <v>200.828</v>
      </c>
      <c r="D26" s="45">
        <v>185.65600000000001</v>
      </c>
      <c r="E26" s="45">
        <v>208</v>
      </c>
      <c r="F26" s="45">
        <v>286.49</v>
      </c>
      <c r="G26" s="41">
        <v>56.25</v>
      </c>
      <c r="H26" s="41">
        <v>112.5</v>
      </c>
      <c r="I26" s="41">
        <v>168.75</v>
      </c>
      <c r="J26" s="55">
        <v>225</v>
      </c>
      <c r="K26" s="55">
        <v>205</v>
      </c>
      <c r="L26" s="56">
        <v>208</v>
      </c>
      <c r="M26" s="56">
        <v>215</v>
      </c>
    </row>
    <row r="27" spans="1:14" ht="17.100000000000001" customHeight="1">
      <c r="A27" s="35">
        <v>12</v>
      </c>
      <c r="B27" s="45" t="s">
        <v>48</v>
      </c>
      <c r="C27" s="45">
        <v>259.601</v>
      </c>
      <c r="D27" s="45">
        <v>270.03399999999999</v>
      </c>
      <c r="E27" s="45">
        <v>249.29300000000001</v>
      </c>
      <c r="F27" s="45">
        <v>284.63</v>
      </c>
      <c r="G27" s="41">
        <v>67.5</v>
      </c>
      <c r="H27" s="41">
        <v>135</v>
      </c>
      <c r="I27" s="41">
        <v>202.5</v>
      </c>
      <c r="J27" s="55">
        <v>270</v>
      </c>
      <c r="K27" s="55">
        <v>270</v>
      </c>
      <c r="L27" s="55">
        <v>250</v>
      </c>
      <c r="M27" s="55">
        <v>250</v>
      </c>
    </row>
    <row r="28" spans="1:14" ht="17.100000000000001" customHeight="1">
      <c r="A28" s="35">
        <v>13</v>
      </c>
      <c r="B28" s="47" t="s">
        <v>49</v>
      </c>
      <c r="C28" s="47">
        <f t="shared" ref="C28:M28" si="3">SUM(C21:C27)</f>
        <v>2698.2730000000001</v>
      </c>
      <c r="D28" s="47">
        <f>SUM(D21:D27)</f>
        <v>2711.8890000000001</v>
      </c>
      <c r="E28" s="47">
        <f>SUM(E21:E27)</f>
        <v>2891.5299147853898</v>
      </c>
      <c r="F28" s="47">
        <f t="shared" ref="F28:I28" si="4">SUM(F21:F27)</f>
        <v>3148.348</v>
      </c>
      <c r="G28" s="69">
        <f t="shared" si="4"/>
        <v>737.39742337679252</v>
      </c>
      <c r="H28" s="69">
        <f t="shared" si="4"/>
        <v>1474.794846753585</v>
      </c>
      <c r="I28" s="69">
        <f t="shared" si="4"/>
        <v>2212.1922701303774</v>
      </c>
      <c r="J28" s="50">
        <f t="shared" si="3"/>
        <v>2945.5896935071701</v>
      </c>
      <c r="K28" s="50">
        <f t="shared" si="3"/>
        <v>2963.8879999999999</v>
      </c>
      <c r="L28" s="51">
        <f t="shared" si="3"/>
        <v>3012.558</v>
      </c>
      <c r="M28" s="51">
        <f t="shared" si="3"/>
        <v>3062.3602700000001</v>
      </c>
    </row>
    <row r="29" spans="1:14" ht="17.100000000000001" customHeight="1">
      <c r="A29" s="35">
        <v>14</v>
      </c>
      <c r="B29" s="52" t="s">
        <v>50</v>
      </c>
      <c r="C29" s="52">
        <f>C20-C28</f>
        <v>103.62199999999984</v>
      </c>
      <c r="D29" s="52">
        <f t="shared" ref="D29:M29" si="5">D20-D28</f>
        <v>233.74699999999984</v>
      </c>
      <c r="E29" s="52">
        <f t="shared" si="5"/>
        <v>57.670085214610026</v>
      </c>
      <c r="F29" s="52">
        <f t="shared" si="5"/>
        <v>3.9009999999998399</v>
      </c>
      <c r="G29" s="70">
        <f t="shared" si="5"/>
        <v>7.7576623207505691E-2</v>
      </c>
      <c r="H29" s="70">
        <f t="shared" si="5"/>
        <v>0.15515324641501138</v>
      </c>
      <c r="I29" s="70">
        <f t="shared" si="5"/>
        <v>0.23272986962274445</v>
      </c>
      <c r="J29" s="52">
        <f t="shared" si="5"/>
        <v>5.4103064928299318</v>
      </c>
      <c r="K29" s="52">
        <f t="shared" si="5"/>
        <v>4.8899999999998727</v>
      </c>
      <c r="L29" s="52">
        <f t="shared" si="5"/>
        <v>5.0360000000000582</v>
      </c>
      <c r="M29" s="54">
        <f t="shared" si="5"/>
        <v>5.0257299999998395</v>
      </c>
    </row>
    <row r="30" spans="1:14" ht="17.100000000000001" customHeight="1">
      <c r="A30" s="35">
        <v>15</v>
      </c>
      <c r="B30" s="45" t="s">
        <v>51</v>
      </c>
      <c r="C30" s="45"/>
      <c r="D30" s="45"/>
      <c r="E30" s="45"/>
      <c r="F30" s="45"/>
      <c r="G30" s="41"/>
      <c r="H30" s="41"/>
      <c r="I30" s="41"/>
      <c r="J30" s="55"/>
      <c r="K30" s="55"/>
      <c r="L30" s="56"/>
      <c r="M30" s="56"/>
    </row>
    <row r="31" spans="1:14" ht="17.100000000000001" customHeight="1">
      <c r="A31" s="35">
        <v>16</v>
      </c>
      <c r="B31" s="45" t="s">
        <v>52</v>
      </c>
      <c r="C31" s="45">
        <v>6.4000000000000001E-2</v>
      </c>
      <c r="D31" s="45"/>
      <c r="E31" s="45"/>
      <c r="F31" s="45">
        <v>1.5</v>
      </c>
      <c r="G31" s="41"/>
      <c r="H31" s="41"/>
      <c r="I31" s="41"/>
      <c r="J31" s="55"/>
      <c r="K31" s="55"/>
      <c r="L31" s="56"/>
      <c r="M31" s="56"/>
    </row>
    <row r="32" spans="1:14" ht="17.100000000000001" customHeight="1">
      <c r="A32" s="35">
        <v>17</v>
      </c>
      <c r="B32" s="45" t="s">
        <v>53</v>
      </c>
      <c r="C32" s="45"/>
      <c r="D32" s="45">
        <v>0.36</v>
      </c>
      <c r="E32" s="45"/>
      <c r="F32" s="45"/>
      <c r="G32" s="41"/>
      <c r="H32" s="41"/>
      <c r="I32" s="41"/>
      <c r="J32" s="55"/>
      <c r="K32" s="55"/>
      <c r="L32" s="56"/>
      <c r="M32" s="56"/>
      <c r="N32" s="92"/>
    </row>
    <row r="33" spans="1:13" ht="17.100000000000001" customHeight="1">
      <c r="A33" s="35">
        <v>18</v>
      </c>
      <c r="B33" s="57" t="s">
        <v>54</v>
      </c>
      <c r="C33" s="57">
        <f>C30+C31-C32</f>
        <v>6.4000000000000001E-2</v>
      </c>
      <c r="D33" s="57">
        <f t="shared" ref="D33:M33" si="6">D30+D31-D32</f>
        <v>-0.36</v>
      </c>
      <c r="E33" s="57">
        <f t="shared" si="6"/>
        <v>0</v>
      </c>
      <c r="F33" s="57">
        <f t="shared" si="6"/>
        <v>1.5</v>
      </c>
      <c r="G33" s="71">
        <f t="shared" si="6"/>
        <v>0</v>
      </c>
      <c r="H33" s="71">
        <f t="shared" si="6"/>
        <v>0</v>
      </c>
      <c r="I33" s="71">
        <f t="shared" si="6"/>
        <v>0</v>
      </c>
      <c r="J33" s="57">
        <f t="shared" si="6"/>
        <v>0</v>
      </c>
      <c r="K33" s="57">
        <f t="shared" si="6"/>
        <v>0</v>
      </c>
      <c r="L33" s="57">
        <f t="shared" si="6"/>
        <v>0</v>
      </c>
      <c r="M33" s="59">
        <f t="shared" si="6"/>
        <v>0</v>
      </c>
    </row>
    <row r="34" spans="1:13" ht="17.100000000000001" customHeight="1">
      <c r="A34" s="35">
        <v>19</v>
      </c>
      <c r="B34" s="60" t="s">
        <v>55</v>
      </c>
      <c r="C34" s="52">
        <f t="shared" ref="C34:M34" si="7">C29+C33</f>
        <v>103.68599999999984</v>
      </c>
      <c r="D34" s="52">
        <f t="shared" si="7"/>
        <v>233.38699999999983</v>
      </c>
      <c r="E34" s="52">
        <f>E29+E33</f>
        <v>57.670085214610026</v>
      </c>
      <c r="F34" s="52">
        <f t="shared" ref="F34:I34" si="8">F29+F33</f>
        <v>5.4009999999998399</v>
      </c>
      <c r="G34" s="70">
        <f t="shared" si="8"/>
        <v>7.7576623207505691E-2</v>
      </c>
      <c r="H34" s="70">
        <f t="shared" si="8"/>
        <v>0.15515324641501138</v>
      </c>
      <c r="I34" s="70">
        <f t="shared" si="8"/>
        <v>0.23272986962274445</v>
      </c>
      <c r="J34" s="61">
        <f t="shared" si="7"/>
        <v>5.4103064928299318</v>
      </c>
      <c r="K34" s="61">
        <f t="shared" si="7"/>
        <v>4.8899999999998727</v>
      </c>
      <c r="L34" s="62">
        <f t="shared" si="7"/>
        <v>5.0360000000000582</v>
      </c>
      <c r="M34" s="62">
        <f t="shared" si="7"/>
        <v>5.0257299999998395</v>
      </c>
    </row>
    <row r="35" spans="1:13" ht="17.100000000000001" customHeight="1">
      <c r="A35" s="35">
        <v>20</v>
      </c>
      <c r="B35" s="4" t="s">
        <v>56</v>
      </c>
      <c r="C35" s="4"/>
      <c r="D35" s="4"/>
      <c r="E35" s="4"/>
      <c r="F35" s="4"/>
      <c r="G35" s="2"/>
      <c r="H35" s="2"/>
      <c r="I35" s="2"/>
      <c r="J35" s="6"/>
      <c r="K35" s="6"/>
      <c r="L35" s="7"/>
      <c r="M35" s="7"/>
    </row>
    <row r="36" spans="1:13" ht="17.100000000000001" customHeight="1">
      <c r="A36" s="35">
        <v>21</v>
      </c>
      <c r="B36" s="45" t="s">
        <v>57</v>
      </c>
      <c r="C36" s="45">
        <v>5.7</v>
      </c>
      <c r="D36" s="45">
        <v>5.431</v>
      </c>
      <c r="E36" s="45">
        <v>5.4</v>
      </c>
      <c r="F36" s="45">
        <v>5.4</v>
      </c>
      <c r="G36" s="41">
        <v>1.25</v>
      </c>
      <c r="H36" s="41">
        <v>2.5</v>
      </c>
      <c r="I36" s="41">
        <v>3.75</v>
      </c>
      <c r="J36" s="55">
        <v>5</v>
      </c>
      <c r="K36" s="55">
        <v>5</v>
      </c>
      <c r="L36" s="55">
        <v>5</v>
      </c>
      <c r="M36" s="55">
        <v>5</v>
      </c>
    </row>
    <row r="37" spans="1:13" ht="17.100000000000001" customHeight="1">
      <c r="A37" s="63">
        <v>22</v>
      </c>
      <c r="B37" s="64" t="s">
        <v>58</v>
      </c>
      <c r="C37" s="64">
        <f t="shared" ref="C37:M37" si="9">C34+C35-C36</f>
        <v>97.985999999999834</v>
      </c>
      <c r="D37" s="64">
        <f t="shared" si="9"/>
        <v>227.95599999999982</v>
      </c>
      <c r="E37" s="64">
        <f t="shared" si="9"/>
        <v>52.270085214610027</v>
      </c>
      <c r="F37" s="64">
        <f t="shared" si="9"/>
        <v>9.9999999983957366E-4</v>
      </c>
      <c r="G37" s="72">
        <f t="shared" si="9"/>
        <v>-1.1724233767924943</v>
      </c>
      <c r="H37" s="72">
        <f t="shared" si="9"/>
        <v>-2.3448467535849886</v>
      </c>
      <c r="I37" s="72">
        <f t="shared" si="9"/>
        <v>-3.5172701303772556</v>
      </c>
      <c r="J37" s="66">
        <f t="shared" si="9"/>
        <v>0.41030649282993181</v>
      </c>
      <c r="K37" s="66">
        <f t="shared" si="9"/>
        <v>-0.11000000000012733</v>
      </c>
      <c r="L37" s="67">
        <f t="shared" si="9"/>
        <v>3.6000000000058208E-2</v>
      </c>
      <c r="M37" s="66">
        <f t="shared" si="9"/>
        <v>2.5729999999839492E-2</v>
      </c>
    </row>
    <row r="38" spans="1:13">
      <c r="A38" s="88"/>
      <c r="B38" s="88"/>
      <c r="C38" s="88"/>
      <c r="D38" s="88"/>
      <c r="E38" s="88"/>
      <c r="F38" s="88"/>
      <c r="G38" s="88"/>
      <c r="H38" s="88"/>
      <c r="I38" s="88"/>
      <c r="J38" s="88"/>
      <c r="K38" s="88"/>
      <c r="L38" s="88"/>
      <c r="M38" s="88"/>
    </row>
  </sheetData>
  <mergeCells count="13">
    <mergeCell ref="B10:M10"/>
    <mergeCell ref="A1:E3"/>
    <mergeCell ref="J1:M3"/>
    <mergeCell ref="A4:M4"/>
    <mergeCell ref="A5:B5"/>
    <mergeCell ref="C5:M5"/>
    <mergeCell ref="A6:B6"/>
    <mergeCell ref="G6:M6"/>
    <mergeCell ref="A7:B7"/>
    <mergeCell ref="C7:F7"/>
    <mergeCell ref="G7:K7"/>
    <mergeCell ref="L7:M7"/>
    <mergeCell ref="A8:B8"/>
  </mergeCells>
  <pageMargins left="0.51181102362204722" right="0" top="0.39370078740157483" bottom="0.19685039370078741" header="0.31496062992125984" footer="0.31496062992125984"/>
  <pageSetup paperSize="9" scale="70" orientation="landscape" r:id="rId1"/>
  <headerFooter>
    <oddHeader>&amp;RBlatt 2c</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view="pageLayout" zoomScale="50" zoomScaleNormal="100" zoomScalePageLayoutView="50" workbookViewId="0">
      <selection activeCell="F31" sqref="F31"/>
    </sheetView>
  </sheetViews>
  <sheetFormatPr baseColWidth="10" defaultRowHeight="15"/>
  <cols>
    <col min="1" max="1" width="6.28515625" customWidth="1"/>
    <col min="2" max="2" width="30.28515625" customWidth="1"/>
    <col min="3" max="13" width="12.7109375" customWidth="1"/>
    <col min="14" max="14" width="4.7109375" customWidth="1"/>
  </cols>
  <sheetData>
    <row r="1" spans="1:14" ht="15" customHeight="1">
      <c r="A1" s="470" t="s">
        <v>0</v>
      </c>
      <c r="B1" s="470"/>
      <c r="C1" s="470"/>
      <c r="D1" s="470"/>
      <c r="E1" s="471"/>
      <c r="F1" s="8"/>
      <c r="G1" s="8"/>
      <c r="H1" s="8"/>
      <c r="I1" s="8"/>
      <c r="J1" s="474" t="s">
        <v>1</v>
      </c>
      <c r="K1" s="475"/>
      <c r="L1" s="475"/>
      <c r="M1" s="475"/>
      <c r="N1" s="9"/>
    </row>
    <row r="2" spans="1:14">
      <c r="A2" s="470"/>
      <c r="B2" s="470"/>
      <c r="C2" s="470"/>
      <c r="D2" s="470"/>
      <c r="E2" s="471"/>
      <c r="F2" s="8"/>
      <c r="G2" s="8"/>
      <c r="H2" s="8"/>
      <c r="I2" s="8"/>
      <c r="J2" s="475"/>
      <c r="K2" s="475"/>
      <c r="L2" s="475"/>
      <c r="M2" s="475"/>
      <c r="N2" s="9"/>
    </row>
    <row r="3" spans="1:14">
      <c r="A3" s="472"/>
      <c r="B3" s="472"/>
      <c r="C3" s="472"/>
      <c r="D3" s="472"/>
      <c r="E3" s="473"/>
      <c r="F3" s="23"/>
      <c r="G3" s="23"/>
      <c r="H3" s="23"/>
      <c r="I3" s="23"/>
      <c r="J3" s="476"/>
      <c r="K3" s="476"/>
      <c r="L3" s="476"/>
      <c r="M3" s="476"/>
      <c r="N3" s="9"/>
    </row>
    <row r="4" spans="1:14" ht="18">
      <c r="A4" s="477" t="s">
        <v>2</v>
      </c>
      <c r="B4" s="478"/>
      <c r="C4" s="478"/>
      <c r="D4" s="478"/>
      <c r="E4" s="478"/>
      <c r="F4" s="478"/>
      <c r="G4" s="478"/>
      <c r="H4" s="478"/>
      <c r="I4" s="478"/>
      <c r="J4" s="478"/>
      <c r="K4" s="478"/>
      <c r="L4" s="478"/>
      <c r="M4" s="479"/>
    </row>
    <row r="5" spans="1:14" ht="15.75" customHeight="1">
      <c r="A5" s="480" t="s">
        <v>3</v>
      </c>
      <c r="B5" s="481"/>
      <c r="C5" s="482" t="s">
        <v>4</v>
      </c>
      <c r="D5" s="482"/>
      <c r="E5" s="482"/>
      <c r="F5" s="482"/>
      <c r="G5" s="482"/>
      <c r="H5" s="482"/>
      <c r="I5" s="482"/>
      <c r="J5" s="483"/>
      <c r="K5" s="483"/>
      <c r="L5" s="483"/>
      <c r="M5" s="484"/>
    </row>
    <row r="6" spans="1:14" ht="15" customHeight="1">
      <c r="A6" s="480" t="s">
        <v>5</v>
      </c>
      <c r="B6" s="481"/>
      <c r="C6" s="24"/>
      <c r="D6" s="24"/>
      <c r="E6" s="24"/>
      <c r="F6" s="24"/>
      <c r="G6" s="485" t="s">
        <v>6</v>
      </c>
      <c r="H6" s="486"/>
      <c r="I6" s="486"/>
      <c r="J6" s="486"/>
      <c r="K6" s="486"/>
      <c r="L6" s="486"/>
      <c r="M6" s="487"/>
    </row>
    <row r="7" spans="1:14" ht="15" customHeight="1">
      <c r="A7" s="488"/>
      <c r="B7" s="489"/>
      <c r="C7" s="490" t="s">
        <v>72</v>
      </c>
      <c r="D7" s="491"/>
      <c r="E7" s="491"/>
      <c r="F7" s="492"/>
      <c r="G7" s="493" t="s">
        <v>8</v>
      </c>
      <c r="H7" s="494"/>
      <c r="I7" s="495"/>
      <c r="J7" s="495"/>
      <c r="K7" s="496"/>
      <c r="L7" s="493" t="s">
        <v>9</v>
      </c>
      <c r="M7" s="497"/>
    </row>
    <row r="8" spans="1:14">
      <c r="A8" s="498" t="s">
        <v>10</v>
      </c>
      <c r="B8" s="499"/>
      <c r="C8" s="26" t="s">
        <v>11</v>
      </c>
      <c r="D8" s="26" t="s">
        <v>11</v>
      </c>
      <c r="E8" s="26" t="s">
        <v>12</v>
      </c>
      <c r="F8" s="26" t="s">
        <v>13</v>
      </c>
      <c r="G8" s="27" t="s">
        <v>14</v>
      </c>
      <c r="H8" s="27" t="s">
        <v>15</v>
      </c>
      <c r="I8" s="27" t="s">
        <v>16</v>
      </c>
      <c r="J8" s="27" t="s">
        <v>17</v>
      </c>
      <c r="K8" s="26" t="s">
        <v>18</v>
      </c>
      <c r="L8" s="28" t="s">
        <v>18</v>
      </c>
      <c r="M8" s="29" t="s">
        <v>18</v>
      </c>
    </row>
    <row r="9" spans="1:14">
      <c r="A9" s="30"/>
      <c r="B9" s="10"/>
      <c r="C9" s="31">
        <v>2015</v>
      </c>
      <c r="D9" s="31">
        <v>2016</v>
      </c>
      <c r="E9" s="31">
        <v>2017</v>
      </c>
      <c r="F9" s="31">
        <v>2017</v>
      </c>
      <c r="G9" s="32">
        <v>2018</v>
      </c>
      <c r="H9" s="32">
        <v>2018</v>
      </c>
      <c r="I9" s="32">
        <v>2018</v>
      </c>
      <c r="J9" s="32">
        <v>2018</v>
      </c>
      <c r="K9" s="33">
        <v>2019</v>
      </c>
      <c r="L9" s="11">
        <v>2020</v>
      </c>
      <c r="M9" s="33">
        <v>2021</v>
      </c>
    </row>
    <row r="10" spans="1:14" ht="15" customHeight="1">
      <c r="A10" s="34" t="s">
        <v>19</v>
      </c>
      <c r="B10" s="467" t="s">
        <v>20</v>
      </c>
      <c r="C10" s="468"/>
      <c r="D10" s="468"/>
      <c r="E10" s="468"/>
      <c r="F10" s="468"/>
      <c r="G10" s="468"/>
      <c r="H10" s="468"/>
      <c r="I10" s="468"/>
      <c r="J10" s="468"/>
      <c r="K10" s="468"/>
      <c r="L10" s="468"/>
      <c r="M10" s="469"/>
    </row>
    <row r="11" spans="1:14" ht="17.100000000000001" customHeight="1">
      <c r="A11" s="35">
        <v>1</v>
      </c>
      <c r="B11" s="36" t="s">
        <v>73</v>
      </c>
      <c r="C11" s="36">
        <v>3069</v>
      </c>
      <c r="D11" s="36">
        <v>2839.9250000000002</v>
      </c>
      <c r="E11" s="36">
        <v>3170.5749999999998</v>
      </c>
      <c r="F11" s="36">
        <v>3170.5749999999998</v>
      </c>
      <c r="G11" s="41">
        <v>806.25</v>
      </c>
      <c r="H11" s="41">
        <v>1612.5</v>
      </c>
      <c r="I11" s="41">
        <v>2418.75</v>
      </c>
      <c r="J11" s="36">
        <v>3225</v>
      </c>
      <c r="K11" s="36">
        <v>3342</v>
      </c>
      <c r="L11" s="36">
        <v>3275</v>
      </c>
      <c r="M11" s="38">
        <v>3399</v>
      </c>
    </row>
    <row r="12" spans="1:14" ht="17.100000000000001" customHeight="1">
      <c r="A12" s="35">
        <v>2</v>
      </c>
      <c r="B12" s="44" t="s">
        <v>38</v>
      </c>
      <c r="C12" s="45">
        <v>75</v>
      </c>
      <c r="D12" s="45"/>
      <c r="E12" s="45"/>
      <c r="F12" s="45"/>
      <c r="G12" s="46"/>
      <c r="H12" s="46"/>
      <c r="I12" s="46"/>
      <c r="J12" s="55"/>
      <c r="K12" s="55"/>
      <c r="L12" s="56"/>
      <c r="M12" s="56"/>
    </row>
    <row r="13" spans="1:14" ht="17.100000000000001" customHeight="1">
      <c r="A13" s="35">
        <v>3</v>
      </c>
      <c r="B13" s="44" t="s">
        <v>39</v>
      </c>
      <c r="C13" s="45"/>
      <c r="D13" s="45"/>
      <c r="E13" s="45"/>
      <c r="F13" s="45"/>
      <c r="G13" s="46"/>
      <c r="H13" s="46"/>
      <c r="I13" s="46"/>
      <c r="J13" s="55"/>
      <c r="K13" s="55"/>
      <c r="L13" s="56"/>
      <c r="M13" s="56"/>
    </row>
    <row r="14" spans="1:14" ht="17.100000000000001" customHeight="1">
      <c r="A14" s="35">
        <v>4</v>
      </c>
      <c r="B14" s="45" t="s">
        <v>40</v>
      </c>
      <c r="C14" s="45">
        <v>15</v>
      </c>
      <c r="D14" s="45">
        <v>347.46199999999999</v>
      </c>
      <c r="E14" s="45">
        <v>277.57499999999999</v>
      </c>
      <c r="F14" s="45"/>
      <c r="G14" s="46"/>
      <c r="H14" s="46"/>
      <c r="I14" s="46"/>
      <c r="J14" s="55"/>
      <c r="K14" s="55"/>
      <c r="L14" s="55"/>
      <c r="M14" s="55"/>
      <c r="N14" s="13"/>
    </row>
    <row r="15" spans="1:14" ht="17.100000000000001" customHeight="1">
      <c r="A15" s="35">
        <v>5</v>
      </c>
      <c r="B15" s="47" t="s">
        <v>41</v>
      </c>
      <c r="C15" s="47">
        <f>SUM(C11:C14)</f>
        <v>3159</v>
      </c>
      <c r="D15" s="47">
        <f t="shared" ref="D15:M15" si="0">SUM(D11:D14)</f>
        <v>3187.3870000000002</v>
      </c>
      <c r="E15" s="47">
        <f t="shared" si="0"/>
        <v>3448.1499999999996</v>
      </c>
      <c r="F15" s="47">
        <f t="shared" si="0"/>
        <v>3170.5749999999998</v>
      </c>
      <c r="G15" s="48">
        <f t="shared" si="0"/>
        <v>806.25</v>
      </c>
      <c r="H15" s="48">
        <f t="shared" si="0"/>
        <v>1612.5</v>
      </c>
      <c r="I15" s="48">
        <f t="shared" si="0"/>
        <v>2418.75</v>
      </c>
      <c r="J15" s="47">
        <f t="shared" si="0"/>
        <v>3225</v>
      </c>
      <c r="K15" s="47">
        <f t="shared" si="0"/>
        <v>3342</v>
      </c>
      <c r="L15" s="47">
        <f t="shared" si="0"/>
        <v>3275</v>
      </c>
      <c r="M15" s="49">
        <f t="shared" si="0"/>
        <v>3399</v>
      </c>
    </row>
    <row r="16" spans="1:14" ht="17.100000000000001" customHeight="1">
      <c r="A16" s="35">
        <v>6</v>
      </c>
      <c r="B16" s="45" t="s">
        <v>42</v>
      </c>
      <c r="C16" s="45">
        <v>11.356</v>
      </c>
      <c r="D16" s="45">
        <v>10.653</v>
      </c>
      <c r="E16" s="45">
        <v>12.111000000000001</v>
      </c>
      <c r="F16" s="45">
        <v>12.836</v>
      </c>
      <c r="G16" s="41">
        <v>2.75</v>
      </c>
      <c r="H16" s="41">
        <v>5.5</v>
      </c>
      <c r="I16" s="41">
        <v>8.25</v>
      </c>
      <c r="J16" s="55">
        <v>11</v>
      </c>
      <c r="K16" s="55">
        <v>11.11</v>
      </c>
      <c r="L16" s="55">
        <v>11.2211</v>
      </c>
      <c r="M16" s="55">
        <v>11.333311</v>
      </c>
    </row>
    <row r="17" spans="1:14" ht="17.100000000000001" customHeight="1">
      <c r="A17" s="35">
        <v>7</v>
      </c>
      <c r="B17" s="45" t="s">
        <v>43</v>
      </c>
      <c r="C17" s="45">
        <v>292.06099999999998</v>
      </c>
      <c r="D17" s="45">
        <v>143.922</v>
      </c>
      <c r="E17" s="45">
        <v>388.66500000000002</v>
      </c>
      <c r="F17" s="45">
        <v>388.66399999999999</v>
      </c>
      <c r="G17" s="41">
        <v>50</v>
      </c>
      <c r="H17" s="41">
        <v>100</v>
      </c>
      <c r="I17" s="41">
        <v>150</v>
      </c>
      <c r="J17" s="55">
        <v>200</v>
      </c>
      <c r="K17" s="55">
        <v>202</v>
      </c>
      <c r="L17" s="55">
        <v>204.02</v>
      </c>
      <c r="M17" s="55">
        <v>206.06020000000001</v>
      </c>
    </row>
    <row r="18" spans="1:14" ht="17.100000000000001" customHeight="1">
      <c r="A18" s="35">
        <v>8</v>
      </c>
      <c r="B18" s="45" t="s">
        <v>44</v>
      </c>
      <c r="C18" s="45">
        <v>1320.8309999999999</v>
      </c>
      <c r="D18" s="45">
        <v>1476</v>
      </c>
      <c r="E18" s="45">
        <v>1727.7097174420201</v>
      </c>
      <c r="F18" s="45">
        <v>1474.1890000000001</v>
      </c>
      <c r="G18" s="41">
        <v>433.35139347018747</v>
      </c>
      <c r="H18" s="41">
        <v>866.70278694037495</v>
      </c>
      <c r="I18" s="41">
        <v>1300.0541804105624</v>
      </c>
      <c r="J18" s="55">
        <v>1733.4055738807499</v>
      </c>
      <c r="K18" s="55">
        <v>1746.01414529454</v>
      </c>
      <c r="L18" s="56">
        <v>1776.65049779899</v>
      </c>
      <c r="M18" s="56">
        <v>1797.9949396544</v>
      </c>
      <c r="N18" s="13"/>
    </row>
    <row r="19" spans="1:14" ht="17.100000000000001" customHeight="1">
      <c r="A19" s="35">
        <v>9</v>
      </c>
      <c r="B19" s="45" t="s">
        <v>45</v>
      </c>
      <c r="C19" s="45">
        <v>84.79</v>
      </c>
      <c r="D19" s="45">
        <v>64.25</v>
      </c>
      <c r="E19" s="45">
        <v>10.148999999999999</v>
      </c>
      <c r="F19" s="45">
        <v>10.148999999999999</v>
      </c>
      <c r="G19" s="41">
        <v>7.75</v>
      </c>
      <c r="H19" s="41">
        <v>15.5</v>
      </c>
      <c r="I19" s="41">
        <v>23.25</v>
      </c>
      <c r="J19" s="55">
        <v>31</v>
      </c>
      <c r="K19" s="55">
        <v>33</v>
      </c>
      <c r="L19" s="56">
        <v>33</v>
      </c>
      <c r="M19" s="56">
        <v>33</v>
      </c>
      <c r="N19" s="13"/>
    </row>
    <row r="20" spans="1:14" ht="17.100000000000001" customHeight="1">
      <c r="A20" s="35">
        <v>10</v>
      </c>
      <c r="B20" s="45" t="s">
        <v>46</v>
      </c>
      <c r="C20" s="45">
        <v>1547.4169999999999</v>
      </c>
      <c r="D20" s="45">
        <v>1224.54</v>
      </c>
      <c r="E20" s="45">
        <v>1382.7280000000001</v>
      </c>
      <c r="F20" s="45">
        <v>1269.943</v>
      </c>
      <c r="G20" s="41">
        <v>312.25</v>
      </c>
      <c r="H20" s="41">
        <v>624.5</v>
      </c>
      <c r="I20" s="41">
        <v>936.75</v>
      </c>
      <c r="J20" s="55">
        <v>1249</v>
      </c>
      <c r="K20" s="55">
        <v>1352</v>
      </c>
      <c r="L20" s="56">
        <v>1252</v>
      </c>
      <c r="M20" s="56">
        <v>1352</v>
      </c>
      <c r="N20" s="13"/>
    </row>
    <row r="21" spans="1:14" s="14" customFormat="1" ht="17.100000000000001" customHeight="1">
      <c r="A21" s="35">
        <v>11</v>
      </c>
      <c r="B21" s="45" t="s">
        <v>47</v>
      </c>
      <c r="C21" s="45">
        <v>-94.325999999999993</v>
      </c>
      <c r="D21" s="45">
        <v>15.481999999999999</v>
      </c>
      <c r="E21" s="45">
        <v>16</v>
      </c>
      <c r="F21" s="45">
        <v>13.718999999999999</v>
      </c>
      <c r="G21" s="41">
        <v>4</v>
      </c>
      <c r="H21" s="41">
        <v>8</v>
      </c>
      <c r="I21" s="41">
        <v>12</v>
      </c>
      <c r="J21" s="55">
        <v>16</v>
      </c>
      <c r="K21" s="55">
        <v>13</v>
      </c>
      <c r="L21" s="55">
        <v>13.13</v>
      </c>
      <c r="M21" s="55">
        <v>13.2613</v>
      </c>
    </row>
    <row r="22" spans="1:14" ht="17.100000000000001" customHeight="1">
      <c r="A22" s="35">
        <v>12</v>
      </c>
      <c r="B22" s="45" t="s">
        <v>48</v>
      </c>
      <c r="C22" s="45">
        <v>65.835999999999999</v>
      </c>
      <c r="D22" s="45">
        <v>-15.644</v>
      </c>
      <c r="E22" s="45">
        <v>-15</v>
      </c>
      <c r="F22" s="45">
        <v>0.86399999999999999</v>
      </c>
      <c r="G22" s="41">
        <v>-3.75</v>
      </c>
      <c r="H22" s="41">
        <v>-7.5</v>
      </c>
      <c r="I22" s="41">
        <v>-11.25</v>
      </c>
      <c r="J22" s="55">
        <v>-15</v>
      </c>
      <c r="K22" s="55">
        <v>-15</v>
      </c>
      <c r="L22" s="55">
        <v>-15</v>
      </c>
      <c r="M22" s="55">
        <v>-15</v>
      </c>
    </row>
    <row r="23" spans="1:14" ht="17.100000000000001" customHeight="1">
      <c r="A23" s="35">
        <v>13</v>
      </c>
      <c r="B23" s="47" t="s">
        <v>49</v>
      </c>
      <c r="C23" s="47">
        <f t="shared" ref="C23:M23" si="1">SUM(C16:C22)</f>
        <v>3227.9649999999997</v>
      </c>
      <c r="D23" s="47">
        <f>SUM(D16:D22)</f>
        <v>2919.203</v>
      </c>
      <c r="E23" s="47">
        <f>SUM(E16:E22)</f>
        <v>3522.3627174420199</v>
      </c>
      <c r="F23" s="47">
        <f t="shared" ref="F23:I23" si="2">SUM(F16:F22)</f>
        <v>3170.364</v>
      </c>
      <c r="G23" s="48">
        <f t="shared" si="2"/>
        <v>806.35139347018753</v>
      </c>
      <c r="H23" s="48">
        <f t="shared" si="2"/>
        <v>1612.7027869403751</v>
      </c>
      <c r="I23" s="48">
        <f t="shared" si="2"/>
        <v>2419.0541804105624</v>
      </c>
      <c r="J23" s="50">
        <f t="shared" si="1"/>
        <v>3225.4055738807501</v>
      </c>
      <c r="K23" s="50">
        <f t="shared" si="1"/>
        <v>3342.1241452945401</v>
      </c>
      <c r="L23" s="51">
        <f t="shared" si="1"/>
        <v>3275.0215977989901</v>
      </c>
      <c r="M23" s="51">
        <f t="shared" si="1"/>
        <v>3398.6497506544001</v>
      </c>
    </row>
    <row r="24" spans="1:14" ht="17.100000000000001" customHeight="1">
      <c r="A24" s="35">
        <v>14</v>
      </c>
      <c r="B24" s="52" t="s">
        <v>50</v>
      </c>
      <c r="C24" s="52">
        <f>C15-C23</f>
        <v>-68.964999999999691</v>
      </c>
      <c r="D24" s="52">
        <f t="shared" ref="D24:M24" si="3">D15-D23</f>
        <v>268.1840000000002</v>
      </c>
      <c r="E24" s="52">
        <f t="shared" si="3"/>
        <v>-74.212717442020221</v>
      </c>
      <c r="F24" s="52">
        <f t="shared" si="3"/>
        <v>0.21099999999978536</v>
      </c>
      <c r="G24" s="53">
        <f t="shared" si="3"/>
        <v>-0.10139347018753142</v>
      </c>
      <c r="H24" s="53">
        <f t="shared" si="3"/>
        <v>-0.20278694037506284</v>
      </c>
      <c r="I24" s="53">
        <f t="shared" si="3"/>
        <v>-0.30418041056236689</v>
      </c>
      <c r="J24" s="52">
        <f t="shared" si="3"/>
        <v>-0.40557388075012568</v>
      </c>
      <c r="K24" s="52">
        <f t="shared" si="3"/>
        <v>-0.12414529454008516</v>
      </c>
      <c r="L24" s="52">
        <f t="shared" si="3"/>
        <v>-2.1597798990114825E-2</v>
      </c>
      <c r="M24" s="54">
        <f t="shared" si="3"/>
        <v>0.35024934559987742</v>
      </c>
    </row>
    <row r="25" spans="1:14" ht="17.100000000000001" customHeight="1">
      <c r="A25" s="35">
        <v>15</v>
      </c>
      <c r="B25" s="45" t="s">
        <v>51</v>
      </c>
      <c r="C25" s="45"/>
      <c r="D25" s="45"/>
      <c r="E25" s="45"/>
      <c r="F25" s="45"/>
      <c r="G25" s="46"/>
      <c r="H25" s="46"/>
      <c r="I25" s="46"/>
      <c r="J25" s="55"/>
      <c r="K25" s="55"/>
      <c r="L25" s="56"/>
      <c r="M25" s="56"/>
    </row>
    <row r="26" spans="1:14" ht="17.100000000000001" customHeight="1">
      <c r="A26" s="35">
        <v>16</v>
      </c>
      <c r="B26" s="45" t="s">
        <v>52</v>
      </c>
      <c r="C26" s="45"/>
      <c r="D26" s="45"/>
      <c r="E26" s="45"/>
      <c r="F26" s="45"/>
      <c r="G26" s="46"/>
      <c r="H26" s="46"/>
      <c r="I26" s="46"/>
      <c r="J26" s="55"/>
      <c r="K26" s="55"/>
      <c r="L26" s="56"/>
      <c r="M26" s="56"/>
    </row>
    <row r="27" spans="1:14" ht="17.100000000000001" customHeight="1">
      <c r="A27" s="35">
        <v>17</v>
      </c>
      <c r="B27" s="45" t="s">
        <v>53</v>
      </c>
      <c r="C27" s="45"/>
      <c r="D27" s="45"/>
      <c r="E27" s="45"/>
      <c r="F27" s="45"/>
      <c r="G27" s="46"/>
      <c r="H27" s="46"/>
      <c r="I27" s="46"/>
      <c r="J27" s="55"/>
      <c r="K27" s="55"/>
      <c r="L27" s="56"/>
      <c r="M27" s="56"/>
    </row>
    <row r="28" spans="1:14" ht="17.100000000000001" customHeight="1">
      <c r="A28" s="35">
        <v>18</v>
      </c>
      <c r="B28" s="57" t="s">
        <v>54</v>
      </c>
      <c r="C28" s="57">
        <f>C25+C26-C27</f>
        <v>0</v>
      </c>
      <c r="D28" s="57">
        <f t="shared" ref="D28:M28" si="4">D25+D26-D27</f>
        <v>0</v>
      </c>
      <c r="E28" s="57">
        <f t="shared" si="4"/>
        <v>0</v>
      </c>
      <c r="F28" s="57">
        <f t="shared" si="4"/>
        <v>0</v>
      </c>
      <c r="G28" s="58">
        <f t="shared" si="4"/>
        <v>0</v>
      </c>
      <c r="H28" s="58">
        <f t="shared" si="4"/>
        <v>0</v>
      </c>
      <c r="I28" s="58">
        <f t="shared" si="4"/>
        <v>0</v>
      </c>
      <c r="J28" s="57">
        <f t="shared" si="4"/>
        <v>0</v>
      </c>
      <c r="K28" s="57">
        <f t="shared" si="4"/>
        <v>0</v>
      </c>
      <c r="L28" s="57">
        <f t="shared" si="4"/>
        <v>0</v>
      </c>
      <c r="M28" s="59">
        <f t="shared" si="4"/>
        <v>0</v>
      </c>
    </row>
    <row r="29" spans="1:14" ht="17.100000000000001" customHeight="1">
      <c r="A29" s="35">
        <v>19</v>
      </c>
      <c r="B29" s="60" t="s">
        <v>55</v>
      </c>
      <c r="C29" s="52">
        <f t="shared" ref="C29:M29" si="5">C24+C28</f>
        <v>-68.964999999999691</v>
      </c>
      <c r="D29" s="52">
        <f t="shared" si="5"/>
        <v>268.1840000000002</v>
      </c>
      <c r="E29" s="52">
        <f>E24+E28</f>
        <v>-74.212717442020221</v>
      </c>
      <c r="F29" s="52">
        <f t="shared" ref="F29:I29" si="6">F24+F28</f>
        <v>0.21099999999978536</v>
      </c>
      <c r="G29" s="53">
        <f t="shared" si="6"/>
        <v>-0.10139347018753142</v>
      </c>
      <c r="H29" s="53">
        <f t="shared" si="6"/>
        <v>-0.20278694037506284</v>
      </c>
      <c r="I29" s="53">
        <f t="shared" si="6"/>
        <v>-0.30418041056236689</v>
      </c>
      <c r="J29" s="61">
        <f t="shared" si="5"/>
        <v>-0.40557388075012568</v>
      </c>
      <c r="K29" s="61">
        <f t="shared" si="5"/>
        <v>-0.12414529454008516</v>
      </c>
      <c r="L29" s="62">
        <f t="shared" si="5"/>
        <v>-2.1597798990114825E-2</v>
      </c>
      <c r="M29" s="62">
        <f t="shared" si="5"/>
        <v>0.35024934559987742</v>
      </c>
    </row>
    <row r="30" spans="1:14" ht="17.100000000000001" customHeight="1">
      <c r="A30" s="35">
        <v>20</v>
      </c>
      <c r="B30" s="4" t="s">
        <v>56</v>
      </c>
      <c r="C30" s="4"/>
      <c r="D30" s="4"/>
      <c r="E30" s="4"/>
      <c r="F30" s="4"/>
      <c r="G30" s="5"/>
      <c r="H30" s="5"/>
      <c r="I30" s="5"/>
      <c r="J30" s="6"/>
      <c r="K30" s="6"/>
      <c r="L30" s="7"/>
      <c r="M30" s="7"/>
    </row>
    <row r="31" spans="1:14" ht="17.100000000000001" customHeight="1">
      <c r="A31" s="35">
        <v>21</v>
      </c>
      <c r="B31" s="45" t="s">
        <v>57</v>
      </c>
      <c r="C31" s="45">
        <v>0.254</v>
      </c>
      <c r="D31" s="45">
        <v>0.156</v>
      </c>
      <c r="E31" s="45">
        <v>0.21199999999999999</v>
      </c>
      <c r="F31" s="45">
        <v>0.21199999999999999</v>
      </c>
      <c r="G31" s="46"/>
      <c r="H31" s="46"/>
      <c r="I31" s="46"/>
      <c r="J31" s="55"/>
      <c r="K31" s="55"/>
      <c r="L31" s="56"/>
      <c r="M31" s="56"/>
    </row>
    <row r="32" spans="1:14" ht="17.100000000000001" customHeight="1">
      <c r="A32" s="63">
        <v>22</v>
      </c>
      <c r="B32" s="64" t="s">
        <v>58</v>
      </c>
      <c r="C32" s="64">
        <f t="shared" ref="C32:M32" si="7">C29+C30-C31</f>
        <v>-69.218999999999696</v>
      </c>
      <c r="D32" s="64">
        <f t="shared" si="7"/>
        <v>268.02800000000019</v>
      </c>
      <c r="E32" s="64">
        <f t="shared" si="7"/>
        <v>-74.424717442020224</v>
      </c>
      <c r="F32" s="64">
        <f t="shared" si="7"/>
        <v>-1.0000000002146348E-3</v>
      </c>
      <c r="G32" s="65">
        <f t="shared" si="7"/>
        <v>-0.10139347018753142</v>
      </c>
      <c r="H32" s="65">
        <f t="shared" si="7"/>
        <v>-0.20278694037506284</v>
      </c>
      <c r="I32" s="65">
        <f t="shared" si="7"/>
        <v>-0.30418041056236689</v>
      </c>
      <c r="J32" s="66">
        <f t="shared" si="7"/>
        <v>-0.40557388075012568</v>
      </c>
      <c r="K32" s="66">
        <f t="shared" si="7"/>
        <v>-0.12414529454008516</v>
      </c>
      <c r="L32" s="67">
        <f t="shared" si="7"/>
        <v>-2.1597798990114825E-2</v>
      </c>
      <c r="M32" s="67">
        <f t="shared" si="7"/>
        <v>0.35024934559987742</v>
      </c>
    </row>
    <row r="33" spans="1:13" ht="17.100000000000001" customHeight="1">
      <c r="A33" s="88"/>
      <c r="B33" s="88"/>
      <c r="C33" s="88"/>
      <c r="D33" s="88"/>
      <c r="E33" s="88"/>
      <c r="F33" s="88"/>
      <c r="G33" s="88"/>
      <c r="H33" s="88"/>
      <c r="I33" s="88"/>
      <c r="J33" s="88"/>
      <c r="K33" s="88"/>
      <c r="L33" s="88"/>
      <c r="M33" s="88"/>
    </row>
  </sheetData>
  <mergeCells count="13">
    <mergeCell ref="B10:M10"/>
    <mergeCell ref="A1:E3"/>
    <mergeCell ref="J1:M3"/>
    <mergeCell ref="A4:M4"/>
    <mergeCell ref="A5:B5"/>
    <mergeCell ref="C5:M5"/>
    <mergeCell ref="A6:B6"/>
    <mergeCell ref="G6:M6"/>
    <mergeCell ref="A7:B7"/>
    <mergeCell ref="C7:F7"/>
    <mergeCell ref="G7:K7"/>
    <mergeCell ref="L7:M7"/>
    <mergeCell ref="A8:B8"/>
  </mergeCells>
  <pageMargins left="0.51181102362204722" right="0" top="0.39370078740157483" bottom="0.19685039370078741" header="0.31496062992125984" footer="0.31496062992125984"/>
  <pageSetup paperSize="9" scale="70" orientation="landscape" r:id="rId1"/>
  <headerFooter>
    <oddHeader>&amp;RBlatt 2d</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18</vt:i4>
      </vt:variant>
    </vt:vector>
  </HeadingPairs>
  <TitlesOfParts>
    <vt:vector size="18" baseType="lpstr">
      <vt:lpstr>Deckblatt</vt:lpstr>
      <vt:lpstr>UBB_gesamt</vt:lpstr>
      <vt:lpstr>Sparte Grün</vt:lpstr>
      <vt:lpstr>Planung+Bau</vt:lpstr>
      <vt:lpstr>Grünunterhaltg</vt:lpstr>
      <vt:lpstr>Behofgri+Fläch+Gebä</vt:lpstr>
      <vt:lpstr>Friedhöfe+Krema</vt:lpstr>
      <vt:lpstr>St.Reinigung</vt:lpstr>
      <vt:lpstr>Kundenmanagem</vt:lpstr>
      <vt:lpstr>Deponie</vt:lpstr>
      <vt:lpstr>St.Entwässerung</vt:lpstr>
      <vt:lpstr>Zentr.Dienste</vt:lpstr>
      <vt:lpstr>Standortkonzept</vt:lpstr>
      <vt:lpstr>Vermögensplan</vt:lpstr>
      <vt:lpstr>Personalplan</vt:lpstr>
      <vt:lpstr>Personalplan bereichsbezogen</vt:lpstr>
      <vt:lpstr>Investitionsplan</vt:lpstr>
      <vt:lpstr>Planbilanz</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2018-05-22T14:18:24Z</dcterms:created>
  <dcterms:modified xsi:type="dcterms:W3CDTF">2018-05-22T14:18:27Z</dcterms:modified>
</cp:coreProperties>
</file>